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20" activeTab="0"/>
  </bookViews>
  <sheets>
    <sheet name="1.普通会計予算" sheetId="1" r:id="rId1"/>
    <sheet name="2.公営企業会計予算" sheetId="2" r:id="rId2"/>
    <sheet name="3.(1)普通会計決算" sheetId="3" r:id="rId3"/>
    <sheet name="3.(2)財政指標等" sheetId="4" r:id="rId4"/>
    <sheet name="4.公営企業会計決算" sheetId="5" r:id="rId5"/>
    <sheet name="5.三セク決算" sheetId="6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fullCalcOnLoad="1"/>
</workbook>
</file>

<file path=xl/comments5.xml><?xml version="1.0" encoding="utf-8"?>
<comments xmlns="http://schemas.openxmlformats.org/spreadsheetml/2006/main">
  <authors>
    <author> </author>
  </authors>
  <commentList>
    <comment ref="G42" authorId="0">
      <text>
        <r>
          <rPr>
            <b/>
            <sz val="12"/>
            <rFont val="ＭＳ Ｐゴシック"/>
            <family val="3"/>
          </rPr>
          <t>調整あり</t>
        </r>
      </text>
    </comment>
  </commentList>
</comments>
</file>

<file path=xl/sharedStrings.xml><?xml version="1.0" encoding="utf-8"?>
<sst xmlns="http://schemas.openxmlformats.org/spreadsheetml/2006/main" count="518" uniqueCount="311">
  <si>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</si>
  <si>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</si>
  <si>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</si>
  <si>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</si>
  <si>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</si>
  <si>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</si>
  <si>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</si>
  <si>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</si>
  <si>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</si>
  <si>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</si>
  <si>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</si>
  <si>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</si>
  <si>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</si>
  <si>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</si>
  <si>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</si>
  <si>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</si>
  <si>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</si>
  <si>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</si>
  <si>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</si>
  <si>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</si>
  <si>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</si>
  <si>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</si>
  <si>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</si>
  <si>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</si>
  <si>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</si>
  <si>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</si>
  <si>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</si>
  <si>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</si>
  <si>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</si>
  <si>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</si>
  <si>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</si>
  <si>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</si>
  <si>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</si>
  <si>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</si>
  <si>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</si>
  <si>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</si>
  <si>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</si>
  <si>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</si>
  <si>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</si>
  <si>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</si>
  <si>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</si>
  <si>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</si>
  <si>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</si>
  <si>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</si>
  <si>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</si>
  <si>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</si>
  <si>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</si>
  <si>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</si>
  <si>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</si>
  <si>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</si>
  <si>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</si>
  <si>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</si>
  <si>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</si>
  <si>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</si>
  <si>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</si>
  <si>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</si>
  <si>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</si>
  <si>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</si>
  <si>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</si>
  <si>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</si>
  <si>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</si>
  <si>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</si>
  <si>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</si>
  <si>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</si>
  <si>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</si>
  <si>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</si>
  <si>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</si>
  <si>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</si>
  <si>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</si>
  <si>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</si>
  <si>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</si>
  <si>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</si>
  <si>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</si>
  <si>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</si>
  <si>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</si>
  <si>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</si>
  <si>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</si>
  <si>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</si>
  <si>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</si>
  <si>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</si>
  <si>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</si>
  <si>
    <t>歳　　入</t>
  </si>
  <si>
    <t>歳　　出</t>
  </si>
  <si>
    <t>（注）原則として表示単位未満を四捨五入して端数調整していないため、合計等と一致しない場合がある。</t>
  </si>
  <si>
    <t>損益収支</t>
  </si>
  <si>
    <t>資本収支</t>
  </si>
  <si>
    <t>収益的収支</t>
  </si>
  <si>
    <t>資本的収支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</si>
  <si>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</si>
  <si>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</si>
  <si>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</si>
  <si>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</si>
  <si>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</si>
  <si>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</si>
  <si>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</si>
  <si>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</si>
  <si>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</si>
  <si>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</si>
  <si>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</si>
  <si>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</si>
  <si>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</si>
  <si>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（単位：百万円）</t>
  </si>
  <si>
    <t>予算額</t>
  </si>
  <si>
    <t>うち補助事業(国直轄事業負担金を含む)</t>
  </si>
  <si>
    <t>1.普通会計の状況</t>
  </si>
  <si>
    <t>平成16年度</t>
  </si>
  <si>
    <t>団体名</t>
  </si>
  <si>
    <t>歳入</t>
  </si>
  <si>
    <t>地方税</t>
  </si>
  <si>
    <t>地方譲与税</t>
  </si>
  <si>
    <t>地方交付税</t>
  </si>
  <si>
    <t>国庫支出金</t>
  </si>
  <si>
    <t>地方債</t>
  </si>
  <si>
    <t>その他収入</t>
  </si>
  <si>
    <t>当初予算額</t>
  </si>
  <si>
    <t>構成比</t>
  </si>
  <si>
    <t>前年度比</t>
  </si>
  <si>
    <t>歳出</t>
  </si>
  <si>
    <t>義務的経費</t>
  </si>
  <si>
    <t>その他の経費</t>
  </si>
  <si>
    <t>投資的経費</t>
  </si>
  <si>
    <t>人件費</t>
  </si>
  <si>
    <t>公債費</t>
  </si>
  <si>
    <t>物件費</t>
  </si>
  <si>
    <t>積立金</t>
  </si>
  <si>
    <t>普通建設事業</t>
  </si>
  <si>
    <t>市町村民税</t>
  </si>
  <si>
    <t>固定資産税</t>
  </si>
  <si>
    <t>（単位：百万円、％）</t>
  </si>
  <si>
    <t>平成14年度</t>
  </si>
  <si>
    <t>３.普通会計の状況</t>
  </si>
  <si>
    <t>決算額</t>
  </si>
  <si>
    <t>（単位：百万円、％）</t>
  </si>
  <si>
    <t>決算額</t>
  </si>
  <si>
    <t>歳入総額</t>
  </si>
  <si>
    <t>歳出総額</t>
  </si>
  <si>
    <t>歳入歳出差引額</t>
  </si>
  <si>
    <t>繰越財源</t>
  </si>
  <si>
    <t>実質収支</t>
  </si>
  <si>
    <t>単年度収支</t>
  </si>
  <si>
    <t>繰上償還金</t>
  </si>
  <si>
    <t>実質単年度収支</t>
  </si>
  <si>
    <t>標準財政規模</t>
  </si>
  <si>
    <t>財政力指数</t>
  </si>
  <si>
    <t>実質収支比率</t>
  </si>
  <si>
    <t>起債制限比率</t>
  </si>
  <si>
    <t>経常収支比率</t>
  </si>
  <si>
    <t>自主財源比率</t>
  </si>
  <si>
    <t>債務負担行為</t>
  </si>
  <si>
    <t>地方債現在高</t>
  </si>
  <si>
    <t>一般財源総額比</t>
  </si>
  <si>
    <t>14年度</t>
  </si>
  <si>
    <t>13年度</t>
  </si>
  <si>
    <t>（2）最近の普通会計決算及び財政指標等の状況</t>
  </si>
  <si>
    <t>(単位:百万円、％)</t>
  </si>
  <si>
    <t>区分</t>
  </si>
  <si>
    <t>決　算　規　模　・　財　政　指　標　等</t>
  </si>
  <si>
    <t xml:space="preserve">歳入総額    </t>
  </si>
  <si>
    <t>(a)</t>
  </si>
  <si>
    <t>うち一般財源総額</t>
  </si>
  <si>
    <t>歳出総額</t>
  </si>
  <si>
    <t>歳入歳出差引</t>
  </si>
  <si>
    <t>翌年度への繰越財源</t>
  </si>
  <si>
    <t>実質収支</t>
  </si>
  <si>
    <t>単年度収支</t>
  </si>
  <si>
    <t>繰上償還金</t>
  </si>
  <si>
    <t>実質単年度収支</t>
  </si>
  <si>
    <t>積立金現在高</t>
  </si>
  <si>
    <t>債務負担行為（翌年度以降支出予定額）</t>
  </si>
  <si>
    <t>地方債現在高</t>
  </si>
  <si>
    <t>後年度財政負担</t>
  </si>
  <si>
    <t>(f=d+e-c)</t>
  </si>
  <si>
    <t>地方債現在高の一般財源総額比</t>
  </si>
  <si>
    <t>(e/b)</t>
  </si>
  <si>
    <t>後年度財政負担の一般財源総額比</t>
  </si>
  <si>
    <t>(f/b)</t>
  </si>
  <si>
    <t>一人あたり地方債現在高</t>
  </si>
  <si>
    <t>(e/g、円)</t>
  </si>
  <si>
    <t>一人あたり後年度財政負担</t>
  </si>
  <si>
    <t>(f/g、円)</t>
  </si>
  <si>
    <t>人口　（注 1）</t>
  </si>
  <si>
    <t>(g、人)</t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</si>
  <si>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</si>
  <si>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</si>
  <si>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</si>
  <si>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</si>
  <si>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</si>
  <si>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</si>
  <si>
    <t>実質赤字比率</t>
  </si>
  <si>
    <t>連結実質赤字比率</t>
  </si>
  <si>
    <t>実質公債費比率</t>
  </si>
  <si>
    <t>将来負担比率</t>
  </si>
  <si>
    <t>（注）原則として表示単位未満を四捨五入して端数調整していないため、合計等と一致しない場合がある。</t>
  </si>
  <si>
    <t>４.公営企業会計の状況</t>
  </si>
  <si>
    <t>(b-e)</t>
  </si>
  <si>
    <t>(c-f)</t>
  </si>
  <si>
    <t>(a-d)</t>
  </si>
  <si>
    <t>(g)</t>
  </si>
  <si>
    <t>(h)</t>
  </si>
  <si>
    <t>差引不足額 (▲)</t>
  </si>
  <si>
    <t>(i=g-h)</t>
  </si>
  <si>
    <t>(j)</t>
  </si>
  <si>
    <t>補てん財源不足額(▲)</t>
  </si>
  <si>
    <t>(i+j)</t>
  </si>
  <si>
    <t>(c=a-b)</t>
  </si>
  <si>
    <t>(f=d-e)</t>
  </si>
  <si>
    <t>(g=c+f)</t>
  </si>
  <si>
    <t>（注）原則として表示単位未満を四捨五入して端数調整していないため、合計等と一致しない場合がある。</t>
  </si>
  <si>
    <t>５.第三セクター(公社・株式会社形態の三セク)の状況</t>
  </si>
  <si>
    <t>　（単位：百万円）</t>
  </si>
  <si>
    <t>出資状況</t>
  </si>
  <si>
    <t>出資団体数</t>
  </si>
  <si>
    <t>出資金額</t>
  </si>
  <si>
    <t>総額</t>
  </si>
  <si>
    <t>当該団体</t>
  </si>
  <si>
    <t>その他団体</t>
  </si>
  <si>
    <t>民間</t>
  </si>
  <si>
    <t>国</t>
  </si>
  <si>
    <t>貸借対照表</t>
  </si>
  <si>
    <t>資産</t>
  </si>
  <si>
    <t>流動資産</t>
  </si>
  <si>
    <t>固定資産</t>
  </si>
  <si>
    <t>繰延資産</t>
  </si>
  <si>
    <t>資産合計</t>
  </si>
  <si>
    <t>負債</t>
  </si>
  <si>
    <t>流動負債</t>
  </si>
  <si>
    <t>固定負債</t>
  </si>
  <si>
    <t>特別法上の引当金等</t>
  </si>
  <si>
    <t>負債合計</t>
  </si>
  <si>
    <t>資本</t>
  </si>
  <si>
    <t>資本金</t>
  </si>
  <si>
    <t>剰余金</t>
  </si>
  <si>
    <t>法定準備金</t>
  </si>
  <si>
    <t>資本合計</t>
  </si>
  <si>
    <t>負債・資本合計</t>
  </si>
  <si>
    <t>損益計算書</t>
  </si>
  <si>
    <t>事業・経常損益</t>
  </si>
  <si>
    <t>営業収益</t>
  </si>
  <si>
    <t>営業費用</t>
  </si>
  <si>
    <t>一般管理費</t>
  </si>
  <si>
    <t>(c)</t>
  </si>
  <si>
    <t xml:space="preserve">営業利益          </t>
  </si>
  <si>
    <t>(d=a-b-c)</t>
  </si>
  <si>
    <t>営業外収益</t>
  </si>
  <si>
    <t>(e)</t>
  </si>
  <si>
    <t>営業外費用</t>
  </si>
  <si>
    <t>(f)</t>
  </si>
  <si>
    <t xml:space="preserve">経常利益      </t>
  </si>
  <si>
    <t>(g=d+e-f)</t>
  </si>
  <si>
    <t>特別損失</t>
  </si>
  <si>
    <t>特別利益</t>
  </si>
  <si>
    <t>(h)</t>
  </si>
  <si>
    <t>特別損失</t>
  </si>
  <si>
    <t>(i)</t>
  </si>
  <si>
    <t>特定準備金計上前利益</t>
  </si>
  <si>
    <t>(j=g+h-i)</t>
  </si>
  <si>
    <t>特定準備金取崩</t>
  </si>
  <si>
    <t>(k)</t>
  </si>
  <si>
    <t>特定準備金繰入</t>
  </si>
  <si>
    <t>(l)</t>
  </si>
  <si>
    <t>法人税等</t>
  </si>
  <si>
    <t>(m)</t>
  </si>
  <si>
    <t xml:space="preserve">当期利益  </t>
  </si>
  <si>
    <t>(ｎ=g+h-i-m)</t>
  </si>
  <si>
    <t>（注１）住宅供給公社については（n=j+k-l-m）</t>
  </si>
  <si>
    <t>前期繰越利益</t>
  </si>
  <si>
    <t>(o)</t>
  </si>
  <si>
    <t xml:space="preserve">当期未処分利益    </t>
  </si>
  <si>
    <t>(p=n+o)</t>
  </si>
  <si>
    <t>（注１）住宅供給公社については14年度から新公社会計基準を適用しているため、一般管理費、特定準備金計上前利益、特定準備金取崩・繰入額を計上している。</t>
  </si>
  <si>
    <t>（注２）原則として表示単位未満を四捨五入して端数調整していないため、合計等と一致しない場合がある。</t>
  </si>
  <si>
    <t>23年度</t>
  </si>
  <si>
    <t>24年度</t>
  </si>
  <si>
    <t>25年度</t>
  </si>
  <si>
    <t>26年度</t>
  </si>
  <si>
    <t>（1）平成29年度普通会計予算の状況</t>
  </si>
  <si>
    <t>平成29年度</t>
  </si>
  <si>
    <t>(平成29年度予算ﾍﾞｰｽ）</t>
  </si>
  <si>
    <t>29年度</t>
  </si>
  <si>
    <t>29年度</t>
  </si>
  <si>
    <t>（1）平成27年度普通会計決算の状況</t>
  </si>
  <si>
    <t>平成27年度</t>
  </si>
  <si>
    <t>（注1）平成23年度～26年度は平成22年国勢調査、平成27年度は平成27年度国勢調査を基に計上している。</t>
  </si>
  <si>
    <t>27年度</t>
  </si>
  <si>
    <t>(平成27年度決算ﾍﾞｰｽ）</t>
  </si>
  <si>
    <t>27年度</t>
  </si>
  <si>
    <t>27年度</t>
  </si>
  <si>
    <t>(平成27年度決算額）</t>
  </si>
  <si>
    <t>29年度</t>
  </si>
  <si>
    <t>水道事業</t>
  </si>
  <si>
    <t>病院事業</t>
  </si>
  <si>
    <t>下水道（公共・特環）</t>
  </si>
  <si>
    <t>市場事業</t>
  </si>
  <si>
    <t>観光施設事業</t>
  </si>
  <si>
    <t>宅地造成事業</t>
  </si>
  <si>
    <t>駐車場整備事業</t>
  </si>
  <si>
    <t>下水道事業（農業集落）</t>
  </si>
  <si>
    <t>介護サービス（ﾃﾞｲｻｰﾋﾞｽ）</t>
  </si>
  <si>
    <t>29年度</t>
  </si>
  <si>
    <t>駐車場整備事業</t>
  </si>
  <si>
    <t>介護サービス（老人福祉施設・短期入所・ﾃﾞｲｻｰﾋﾞｽ）</t>
  </si>
  <si>
    <t>千葉市</t>
  </si>
  <si>
    <t>住宅供給公社</t>
  </si>
  <si>
    <t>27年度</t>
  </si>
  <si>
    <t>皆減</t>
  </si>
  <si>
    <t>-</t>
  </si>
  <si>
    <t>-</t>
  </si>
  <si>
    <t>-</t>
  </si>
  <si>
    <t>-</t>
  </si>
  <si>
    <t>-</t>
  </si>
  <si>
    <t>千葉都市モノレール株式会社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</si>
</sst>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"/>
    <numFmt numFmtId="178" formatCode="#,##0.0"/>
    <numFmt numFmtId="179" formatCode="0.000"/>
    <numFmt numFmtId="180" formatCode="0.0000"/>
    <numFmt numFmtId="181" formatCode="#,##0.0;[Red]\-#,##0.0"/>
    <numFmt numFmtId="182" formatCode="0_ "/>
    <numFmt numFmtId="183" formatCode="#,##0.0_ "/>
    <numFmt numFmtId="184" formatCode="#,##0.000;[Red]\-#,##0.000"/>
    <numFmt numFmtId="185" formatCode="#,##0.0000;[Red]\-#,##0.0000"/>
    <numFmt numFmtId="186" formatCode="#,##0.00000;[Red]\-#,##0.00000"/>
    <numFmt numFmtId="187" formatCode="#,##0.000000;[Red]\-#,##0.000000"/>
    <numFmt numFmtId="188" formatCode="#,##0.0000000;[Red]\-#,##0.0000000"/>
    <numFmt numFmtId="189" formatCode="#,##0.00000000;[Red]\-#,##0.00000000"/>
    <numFmt numFmtId="190" formatCode="#,##0.000000000;[Red]\-#,##0.000000000"/>
    <numFmt numFmtId="191" formatCode="#,##0.0000000000;[Red]\-#,##0.0000000000"/>
    <numFmt numFmtId="192" formatCode="#,##0.00000000000;[Red]\-#,##0.00000000000"/>
    <numFmt numFmtId="193" formatCode="#,##0.000000000000;[Red]\-#,##0.000000000000"/>
    <numFmt numFmtId="194" formatCode="#,##0.0000000000000;[Red]\-#,##0.0000000000000"/>
    <numFmt numFmtId="195" formatCode="#,##0.00000000000000;[Red]\-#,##0.00000000000000"/>
    <numFmt numFmtId="196" formatCode="#,##0.000000000000000;[Red]\-#,##0.000000000000000"/>
    <numFmt numFmtId="197" formatCode="#,##0.0000000000000000;[Red]\-#,##0.0000000000000000"/>
    <numFmt numFmtId="198" formatCode="#,##0.00000000000000000;[Red]\-#,##0.00000000000000000"/>
    <numFmt numFmtId="199" formatCode="#,##0.000000000000000000;[Red]\-#,##0.000000000000000000"/>
    <numFmt numFmtId="200" formatCode="0.00000000"/>
    <numFmt numFmtId="201" formatCode="0.0000000"/>
    <numFmt numFmtId="202" formatCode="0.000000"/>
    <numFmt numFmtId="203" formatCode="#,##0;&quot;△ &quot;#,##0"/>
    <numFmt numFmtId="204" formatCode="#,##0.0;&quot;△ &quot;#,##0.0"/>
    <numFmt numFmtId="205" formatCode="#,##0.000;&quot;△ &quot;#,##0.000"/>
    <numFmt numFmtId="206" formatCode="0;&quot;△ &quot;0"/>
    <numFmt numFmtId="207" formatCode="0.0;&quot;△ &quot;0.0"/>
    <numFmt numFmtId="208" formatCode="_ * #,##0.0_ ;_ * \-#,##0.0_ ;_ * &quot;-&quot;_ ;_ @_ "/>
    <numFmt numFmtId="209" formatCode="_ * #,##0_ ;_ * \-#,##0_ ;_ * &quot;&quot;_ ;_ @_ "/>
    <numFmt numFmtId="210" formatCode="_ * #,##0.00_ ;_ * \-#,##0.00_ ;_ * &quot;-&quot;_ ;_ @_ "/>
    <numFmt numFmtId="211" formatCode="General;&quot;&quot;"/>
    <numFmt numFmtId="212" formatCode="_ * #,##0.000_ ;_ * \-#,##0.000_ ;_ * &quot;-&quot;???_ ;_ @_ "/>
    <numFmt numFmtId="213" formatCode="_ * #,##0.0_ ;_ * \-#,##0.0_ ;_ * &quot;-&quot;?_ ;_ @_ "/>
    <numFmt numFmtId="214" formatCode="_ * #,##0_ ;_ * &quot;▲ &quot;#,##0_ ;_ * &quot;－&quot;_ ;_ @_ "/>
    <numFmt numFmtId="215" formatCode="_ * #,##0.0_ ;_ * &quot;▲ &quot;#,##0.0_ ;_ * &quot;－&quot;_ ;_ @_ "/>
    <numFmt numFmtId="216" formatCode="#,##0.00;&quot;△ &quot;#,##0.00"/>
    <numFmt numFmtId="217" formatCode="#,##0;[Red]&quot;△&quot;#,##0"/>
    <numFmt numFmtId="218" formatCode="_ * #,##0.00_ ;_ * &quot;▲ &quot;#,##0.00_ ;_ * &quot;－&quot;_ ;_ @_ "/>
    <numFmt numFmtId="219" formatCode="_ * #,##0.000_ ;_ * &quot;▲ &quot;#,##0.000_ ;_ * &quot;－&quot;_ ;_ @_ "/>
    <numFmt numFmtId="220" formatCode="#,##0.0;&quot;▲ &quot;#,##0.0"/>
    <numFmt numFmtId="221" formatCode="#,##0_ "/>
    <numFmt numFmtId="222" formatCode="#,##0;&quot;▲ &quot;#,##0"/>
    <numFmt numFmtId="223" formatCode="_ * #,##0.000_ ;_ * \-#,##0.000_ ;_ * &quot;-&quot;_ ;_ @_ "/>
  </numFmts>
  <fonts count="5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2"/>
      <name val="明朝"/>
      <family val="1"/>
    </font>
    <font>
      <u val="single"/>
      <sz val="11"/>
      <name val="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6"/>
      <name val="明朝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ｺﾞｼｯｸ"/>
      <family val="3"/>
    </font>
    <font>
      <sz val="14"/>
      <name val="ＭＳ 明朝"/>
      <family val="1"/>
    </font>
    <font>
      <sz val="11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8"/>
      <name val="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569">
    <xf numFmtId="0" fontId="0" fillId="0" borderId="0" xfId="0" applyAlignment="1">
      <alignment/>
    </xf>
    <xf numFmtId="41" fontId="0" fillId="0" borderId="0" xfId="0" applyNumberFormat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11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18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0" fillId="0" borderId="21" xfId="0" applyNumberFormat="1" applyFont="1" applyBorder="1" applyAlignment="1">
      <alignment horizontal="centerContinuous" vertical="center" wrapText="1"/>
    </xf>
    <xf numFmtId="0" fontId="0" fillId="0" borderId="22" xfId="0" applyNumberForma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0" xfId="0" applyNumberFormat="1" applyFont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41" fontId="0" fillId="0" borderId="26" xfId="0" applyNumberFormat="1" applyBorder="1" applyAlignment="1">
      <alignment vertical="center"/>
    </xf>
    <xf numFmtId="41" fontId="0" fillId="0" borderId="17" xfId="0" applyNumberFormat="1" applyBorder="1" applyAlignment="1">
      <alignment horizontal="left" vertical="center"/>
    </xf>
    <xf numFmtId="41" fontId="0" fillId="0" borderId="0" xfId="0" applyNumberFormat="1" applyFont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41" fontId="0" fillId="0" borderId="28" xfId="0" applyNumberFormat="1" applyBorder="1" applyAlignment="1">
      <alignment horizontal="left" vertical="center"/>
    </xf>
    <xf numFmtId="41" fontId="0" fillId="0" borderId="18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vertical="center"/>
    </xf>
    <xf numFmtId="41" fontId="0" fillId="0" borderId="14" xfId="0" applyNumberForma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left" vertical="center"/>
    </xf>
    <xf numFmtId="41" fontId="0" fillId="0" borderId="32" xfId="0" applyNumberFormat="1" applyBorder="1" applyAlignment="1">
      <alignment vertical="center"/>
    </xf>
    <xf numFmtId="41" fontId="0" fillId="0" borderId="33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0" fontId="4" fillId="0" borderId="13" xfId="0" applyNumberFormat="1" applyFont="1" applyBorder="1" applyAlignment="1">
      <alignment horizontal="distributed" vertical="center"/>
    </xf>
    <xf numFmtId="0" fontId="0" fillId="0" borderId="34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7" fillId="0" borderId="0" xfId="0" applyNumberFormat="1" applyFont="1" applyAlignment="1">
      <alignment horizontal="left" vertical="center"/>
    </xf>
    <xf numFmtId="41" fontId="0" fillId="0" borderId="0" xfId="0" applyNumberFormat="1" applyAlignment="1" quotePrefix="1">
      <alignment horizontal="right" vertical="center"/>
    </xf>
    <xf numFmtId="41" fontId="0" fillId="0" borderId="10" xfId="0" applyNumberFormat="1" applyBorder="1" applyAlignment="1">
      <alignment horizontal="left" vertical="center"/>
    </xf>
    <xf numFmtId="41" fontId="0" fillId="0" borderId="11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41" fontId="0" fillId="0" borderId="33" xfId="0" applyNumberFormat="1" applyBorder="1" applyAlignment="1">
      <alignment horizontal="left" vertical="center"/>
    </xf>
    <xf numFmtId="0" fontId="0" fillId="0" borderId="35" xfId="0" applyNumberFormat="1" applyFont="1" applyBorder="1" applyAlignment="1">
      <alignment horizontal="center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8" xfId="0" applyNumberFormat="1" applyBorder="1" applyAlignment="1">
      <alignment horizontal="left" vertical="center"/>
    </xf>
    <xf numFmtId="41" fontId="0" fillId="0" borderId="39" xfId="0" applyNumberFormat="1" applyBorder="1" applyAlignment="1">
      <alignment horizontal="left" vertical="center"/>
    </xf>
    <xf numFmtId="41" fontId="0" fillId="0" borderId="40" xfId="0" applyNumberFormat="1" applyBorder="1" applyAlignment="1">
      <alignment horizontal="left" vertical="center"/>
    </xf>
    <xf numFmtId="41" fontId="0" fillId="0" borderId="41" xfId="0" applyNumberFormat="1" applyBorder="1" applyAlignment="1">
      <alignment horizontal="left" vertical="center"/>
    </xf>
    <xf numFmtId="41" fontId="0" fillId="0" borderId="12" xfId="0" applyNumberFormat="1" applyBorder="1" applyAlignment="1">
      <alignment horizontal="left" vertical="center"/>
    </xf>
    <xf numFmtId="41" fontId="0" fillId="0" borderId="25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0" fontId="0" fillId="0" borderId="42" xfId="0" applyNumberFormat="1" applyBorder="1" applyAlignment="1">
      <alignment horizontal="centerContinuous" vertical="center"/>
    </xf>
    <xf numFmtId="0" fontId="0" fillId="0" borderId="43" xfId="0" applyNumberFormat="1" applyBorder="1" applyAlignment="1">
      <alignment horizontal="centerContinuous" vertical="center"/>
    </xf>
    <xf numFmtId="0" fontId="0" fillId="0" borderId="44" xfId="0" applyNumberFormat="1" applyBorder="1" applyAlignment="1">
      <alignment horizontal="centerContinuous" vertical="center"/>
    </xf>
    <xf numFmtId="0" fontId="0" fillId="0" borderId="27" xfId="0" applyNumberFormat="1" applyBorder="1" applyAlignment="1">
      <alignment vertical="center"/>
    </xf>
    <xf numFmtId="41" fontId="0" fillId="0" borderId="14" xfId="0" applyNumberFormat="1" applyBorder="1" applyAlignment="1">
      <alignment horizontal="left" vertical="center"/>
    </xf>
    <xf numFmtId="41" fontId="0" fillId="0" borderId="45" xfId="0" applyNumberFormat="1" applyBorder="1" applyAlignment="1">
      <alignment horizontal="left" vertical="center"/>
    </xf>
    <xf numFmtId="41" fontId="0" fillId="0" borderId="46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4" fillId="0" borderId="13" xfId="0" applyNumberFormat="1" applyFont="1" applyBorder="1" applyAlignment="1">
      <alignment vertical="center"/>
    </xf>
    <xf numFmtId="203" fontId="0" fillId="0" borderId="0" xfId="0" applyNumberFormat="1" applyAlignment="1">
      <alignment vertical="center"/>
    </xf>
    <xf numFmtId="203" fontId="0" fillId="0" borderId="0" xfId="0" applyNumberFormat="1" applyBorder="1" applyAlignment="1">
      <alignment vertical="center"/>
    </xf>
    <xf numFmtId="203" fontId="0" fillId="0" borderId="0" xfId="0" applyNumberFormat="1" applyAlignment="1" quotePrefix="1">
      <alignment horizontal="right" vertical="center"/>
    </xf>
    <xf numFmtId="214" fontId="0" fillId="0" borderId="0" xfId="48" applyNumberFormat="1" applyFont="1" applyBorder="1" applyAlignment="1">
      <alignment vertical="center"/>
    </xf>
    <xf numFmtId="215" fontId="0" fillId="0" borderId="47" xfId="48" applyNumberFormat="1" applyFont="1" applyBorder="1" applyAlignment="1">
      <alignment vertical="center"/>
    </xf>
    <xf numFmtId="215" fontId="0" fillId="0" borderId="48" xfId="48" applyNumberFormat="1" applyFont="1" applyBorder="1" applyAlignment="1">
      <alignment vertical="center"/>
    </xf>
    <xf numFmtId="214" fontId="0" fillId="0" borderId="46" xfId="48" applyNumberFormat="1" applyFont="1" applyBorder="1" applyAlignment="1">
      <alignment vertical="center"/>
    </xf>
    <xf numFmtId="215" fontId="0" fillId="0" borderId="49" xfId="48" applyNumberFormat="1" applyFont="1" applyBorder="1" applyAlignment="1">
      <alignment vertical="center"/>
    </xf>
    <xf numFmtId="215" fontId="0" fillId="0" borderId="50" xfId="48" applyNumberFormat="1" applyFont="1" applyBorder="1" applyAlignment="1">
      <alignment vertical="center"/>
    </xf>
    <xf numFmtId="214" fontId="0" fillId="0" borderId="37" xfId="48" applyNumberFormat="1" applyFont="1" applyBorder="1" applyAlignment="1">
      <alignment vertical="center"/>
    </xf>
    <xf numFmtId="215" fontId="0" fillId="0" borderId="30" xfId="48" applyNumberFormat="1" applyFont="1" applyBorder="1" applyAlignment="1">
      <alignment vertical="center"/>
    </xf>
    <xf numFmtId="215" fontId="0" fillId="0" borderId="34" xfId="48" applyNumberFormat="1" applyFont="1" applyBorder="1" applyAlignment="1">
      <alignment vertical="center"/>
    </xf>
    <xf numFmtId="214" fontId="0" fillId="0" borderId="45" xfId="48" applyNumberFormat="1" applyFont="1" applyBorder="1" applyAlignment="1">
      <alignment vertical="center"/>
    </xf>
    <xf numFmtId="215" fontId="0" fillId="0" borderId="51" xfId="48" applyNumberFormat="1" applyFont="1" applyBorder="1" applyAlignment="1">
      <alignment vertical="center"/>
    </xf>
    <xf numFmtId="215" fontId="0" fillId="0" borderId="52" xfId="48" applyNumberFormat="1" applyFont="1" applyBorder="1" applyAlignment="1">
      <alignment vertical="center"/>
    </xf>
    <xf numFmtId="214" fontId="0" fillId="0" borderId="41" xfId="48" applyNumberFormat="1" applyFont="1" applyBorder="1" applyAlignment="1">
      <alignment vertical="center"/>
    </xf>
    <xf numFmtId="215" fontId="0" fillId="0" borderId="53" xfId="48" applyNumberFormat="1" applyFont="1" applyBorder="1" applyAlignment="1">
      <alignment vertical="center"/>
    </xf>
    <xf numFmtId="215" fontId="0" fillId="0" borderId="54" xfId="48" applyNumberFormat="1" applyFont="1" applyBorder="1" applyAlignment="1">
      <alignment vertical="center"/>
    </xf>
    <xf numFmtId="214" fontId="0" fillId="0" borderId="13" xfId="48" applyNumberFormat="1" applyFont="1" applyBorder="1" applyAlignment="1">
      <alignment vertical="center"/>
    </xf>
    <xf numFmtId="215" fontId="0" fillId="0" borderId="27" xfId="48" applyNumberFormat="1" applyFont="1" applyBorder="1" applyAlignment="1">
      <alignment vertical="center"/>
    </xf>
    <xf numFmtId="215" fontId="0" fillId="0" borderId="55" xfId="48" applyNumberFormat="1" applyFont="1" applyBorder="1" applyAlignment="1">
      <alignment vertical="center"/>
    </xf>
    <xf numFmtId="41" fontId="0" fillId="0" borderId="48" xfId="0" applyNumberFormat="1" applyBorder="1" applyAlignment="1">
      <alignment horizontal="right" vertical="center"/>
    </xf>
    <xf numFmtId="41" fontId="0" fillId="0" borderId="34" xfId="0" applyNumberFormat="1" applyBorder="1" applyAlignment="1">
      <alignment horizontal="right" vertical="center"/>
    </xf>
    <xf numFmtId="41" fontId="0" fillId="0" borderId="37" xfId="0" applyNumberFormat="1" applyBorder="1" applyAlignment="1">
      <alignment horizontal="right" vertical="center"/>
    </xf>
    <xf numFmtId="41" fontId="0" fillId="0" borderId="52" xfId="0" applyNumberFormat="1" applyBorder="1" applyAlignment="1">
      <alignment horizontal="right" vertical="center"/>
    </xf>
    <xf numFmtId="41" fontId="0" fillId="0" borderId="50" xfId="0" applyNumberFormat="1" applyBorder="1" applyAlignment="1">
      <alignment horizontal="right" vertical="center"/>
    </xf>
    <xf numFmtId="41" fontId="0" fillId="0" borderId="55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0" fontId="1" fillId="0" borderId="13" xfId="0" applyNumberFormat="1" applyFont="1" applyBorder="1" applyAlignment="1">
      <alignment horizontal="distributed" vertical="center"/>
    </xf>
    <xf numFmtId="41" fontId="0" fillId="0" borderId="46" xfId="0" applyNumberFormat="1" applyBorder="1" applyAlignment="1">
      <alignment horizontal="right" vertical="center"/>
    </xf>
    <xf numFmtId="41" fontId="0" fillId="0" borderId="45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15" xfId="0" applyNumberFormat="1" applyBorder="1" applyAlignment="1">
      <alignment horizontal="right" vertical="center"/>
    </xf>
    <xf numFmtId="41" fontId="0" fillId="0" borderId="56" xfId="0" applyNumberFormat="1" applyBorder="1" applyAlignment="1">
      <alignment horizontal="left" vertical="center"/>
    </xf>
    <xf numFmtId="214" fontId="0" fillId="0" borderId="57" xfId="48" applyNumberFormat="1" applyFont="1" applyBorder="1" applyAlignment="1">
      <alignment vertical="center"/>
    </xf>
    <xf numFmtId="214" fontId="0" fillId="0" borderId="58" xfId="48" applyNumberFormat="1" applyFont="1" applyBorder="1" applyAlignment="1">
      <alignment vertical="center"/>
    </xf>
    <xf numFmtId="214" fontId="0" fillId="0" borderId="48" xfId="48" applyNumberFormat="1" applyFont="1" applyBorder="1" applyAlignment="1">
      <alignment vertical="center"/>
    </xf>
    <xf numFmtId="214" fontId="0" fillId="0" borderId="59" xfId="48" applyNumberFormat="1" applyFont="1" applyBorder="1" applyAlignment="1">
      <alignment vertical="center"/>
    </xf>
    <xf numFmtId="214" fontId="0" fillId="0" borderId="16" xfId="48" applyNumberFormat="1" applyFont="1" applyBorder="1" applyAlignment="1">
      <alignment vertical="center"/>
    </xf>
    <xf numFmtId="214" fontId="0" fillId="0" borderId="34" xfId="48" applyNumberFormat="1" applyFont="1" applyBorder="1" applyAlignment="1">
      <alignment vertical="center"/>
    </xf>
    <xf numFmtId="214" fontId="0" fillId="0" borderId="59" xfId="0" applyNumberFormat="1" applyBorder="1" applyAlignment="1" quotePrefix="1">
      <alignment horizontal="right" vertical="center"/>
    </xf>
    <xf numFmtId="214" fontId="0" fillId="0" borderId="19" xfId="48" applyNumberFormat="1" applyFont="1" applyBorder="1" applyAlignment="1">
      <alignment vertical="center"/>
    </xf>
    <xf numFmtId="214" fontId="0" fillId="0" borderId="18" xfId="48" applyNumberFormat="1" applyFont="1" applyBorder="1" applyAlignment="1">
      <alignment vertical="center"/>
    </xf>
    <xf numFmtId="214" fontId="0" fillId="0" borderId="52" xfId="48" applyNumberFormat="1" applyFont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33" xfId="48" applyNumberFormat="1" applyFont="1" applyBorder="1" applyAlignment="1">
      <alignment vertical="center"/>
    </xf>
    <xf numFmtId="214" fontId="0" fillId="0" borderId="50" xfId="48" applyNumberFormat="1" applyFont="1" applyBorder="1" applyAlignment="1">
      <alignment vertical="center"/>
    </xf>
    <xf numFmtId="214" fontId="0" fillId="0" borderId="34" xfId="48" applyNumberFormat="1" applyFont="1" applyBorder="1" applyAlignment="1" quotePrefix="1">
      <alignment horizontal="right"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13" xfId="48" applyNumberFormat="1" applyFont="1" applyBorder="1" applyAlignment="1" quotePrefix="1">
      <alignment horizontal="right" vertical="center"/>
    </xf>
    <xf numFmtId="214" fontId="0" fillId="0" borderId="62" xfId="48" applyNumberFormat="1" applyFont="1" applyBorder="1" applyAlignment="1" quotePrefix="1">
      <alignment horizontal="right" vertical="center"/>
    </xf>
    <xf numFmtId="214" fontId="0" fillId="0" borderId="63" xfId="48" applyNumberFormat="1" applyFont="1" applyBorder="1" applyAlignment="1">
      <alignment vertical="center"/>
    </xf>
    <xf numFmtId="214" fontId="0" fillId="0" borderId="31" xfId="48" applyNumberFormat="1" applyFont="1" applyBorder="1" applyAlignment="1">
      <alignment vertical="center"/>
    </xf>
    <xf numFmtId="214" fontId="0" fillId="0" borderId="55" xfId="48" applyNumberFormat="1" applyFont="1" applyBorder="1" applyAlignment="1">
      <alignment vertical="center"/>
    </xf>
    <xf numFmtId="214" fontId="0" fillId="0" borderId="35" xfId="48" applyNumberFormat="1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214" fontId="0" fillId="0" borderId="0" xfId="48" applyNumberFormat="1" applyFont="1" applyBorder="1" applyAlignment="1" quotePrefix="1">
      <alignment horizontal="right" vertical="center"/>
    </xf>
    <xf numFmtId="203" fontId="0" fillId="0" borderId="0" xfId="0" applyNumberFormat="1" applyFont="1" applyBorder="1" applyAlignment="1">
      <alignment vertical="center"/>
    </xf>
    <xf numFmtId="214" fontId="0" fillId="0" borderId="64" xfId="48" applyNumberFormat="1" applyFont="1" applyBorder="1" applyAlignment="1">
      <alignment vertical="center"/>
    </xf>
    <xf numFmtId="214" fontId="0" fillId="0" borderId="22" xfId="48" applyNumberFormat="1" applyFont="1" applyBorder="1" applyAlignment="1">
      <alignment vertical="center"/>
    </xf>
    <xf numFmtId="214" fontId="0" fillId="0" borderId="65" xfId="48" applyNumberFormat="1" applyFont="1" applyBorder="1" applyAlignment="1">
      <alignment vertical="center"/>
    </xf>
    <xf numFmtId="41" fontId="14" fillId="0" borderId="0" xfId="0" applyNumberFormat="1" applyFont="1" applyAlignment="1">
      <alignment vertical="center"/>
    </xf>
    <xf numFmtId="41" fontId="14" fillId="0" borderId="0" xfId="0" applyNumberFormat="1" applyFont="1" applyAlignment="1">
      <alignment horizontal="left" vertical="center"/>
    </xf>
    <xf numFmtId="41" fontId="15" fillId="0" borderId="30" xfId="0" applyNumberFormat="1" applyFont="1" applyBorder="1" applyAlignment="1">
      <alignment vertical="center"/>
    </xf>
    <xf numFmtId="214" fontId="0" fillId="0" borderId="36" xfId="48" applyNumberFormat="1" applyFont="1" applyBorder="1" applyAlignment="1">
      <alignment vertical="center"/>
    </xf>
    <xf numFmtId="214" fontId="0" fillId="0" borderId="12" xfId="48" applyNumberFormat="1" applyFont="1" applyBorder="1" applyAlignment="1">
      <alignment vertical="center"/>
    </xf>
    <xf numFmtId="214" fontId="0" fillId="0" borderId="23" xfId="48" applyNumberFormat="1" applyFont="1" applyBorder="1" applyAlignment="1">
      <alignment vertical="center"/>
    </xf>
    <xf numFmtId="41" fontId="0" fillId="0" borderId="66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66" xfId="0" applyNumberFormat="1" applyBorder="1" applyAlignment="1">
      <alignment vertical="center"/>
    </xf>
    <xf numFmtId="38" fontId="0" fillId="0" borderId="66" xfId="48" applyFont="1" applyBorder="1" applyAlignment="1">
      <alignment vertical="center"/>
    </xf>
    <xf numFmtId="0" fontId="0" fillId="0" borderId="0" xfId="0" applyNumberFormat="1" applyAlignment="1">
      <alignment vertical="center"/>
    </xf>
    <xf numFmtId="220" fontId="0" fillId="0" borderId="66" xfId="0" applyNumberFormat="1" applyBorder="1" applyAlignment="1">
      <alignment vertical="center"/>
    </xf>
    <xf numFmtId="41" fontId="0" fillId="0" borderId="66" xfId="0" applyNumberFormat="1" applyBorder="1" applyAlignment="1">
      <alignment horizontal="center" vertical="center" shrinkToFit="1"/>
    </xf>
    <xf numFmtId="221" fontId="0" fillId="0" borderId="0" xfId="0" applyNumberFormat="1" applyAlignment="1">
      <alignment vertical="center"/>
    </xf>
    <xf numFmtId="0" fontId="0" fillId="0" borderId="61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215" fontId="0" fillId="0" borderId="0" xfId="48" applyNumberFormat="1" applyFont="1" applyBorder="1" applyAlignment="1">
      <alignment vertical="center"/>
    </xf>
    <xf numFmtId="0" fontId="4" fillId="0" borderId="13" xfId="0" applyNumberFormat="1" applyFont="1" applyBorder="1" applyAlignment="1">
      <alignment horizontal="centerContinuous" vertical="center"/>
    </xf>
    <xf numFmtId="41" fontId="4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222" fontId="0" fillId="0" borderId="0" xfId="0" applyNumberFormat="1" applyAlignment="1">
      <alignment vertical="center"/>
    </xf>
    <xf numFmtId="223" fontId="0" fillId="0" borderId="0" xfId="0" applyNumberFormat="1" applyAlignment="1">
      <alignment vertical="center"/>
    </xf>
    <xf numFmtId="208" fontId="0" fillId="0" borderId="0" xfId="0" applyNumberFormat="1" applyAlignment="1">
      <alignment vertical="center"/>
    </xf>
    <xf numFmtId="210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8" xfId="0" applyNumberFormat="1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41" fontId="0" fillId="0" borderId="71" xfId="0" applyNumberFormat="1" applyBorder="1" applyAlignment="1">
      <alignment horizontal="center" vertical="center"/>
    </xf>
    <xf numFmtId="214" fontId="0" fillId="0" borderId="72" xfId="48" applyNumberFormat="1" applyFont="1" applyFill="1" applyBorder="1" applyAlignment="1">
      <alignment horizontal="right" vertical="center"/>
    </xf>
    <xf numFmtId="214" fontId="0" fillId="0" borderId="73" xfId="0" applyNumberFormat="1" applyBorder="1" applyAlignment="1">
      <alignment vertical="center"/>
    </xf>
    <xf numFmtId="214" fontId="0" fillId="0" borderId="73" xfId="48" applyNumberFormat="1" applyFont="1" applyBorder="1" applyAlignment="1">
      <alignment horizontal="right" vertical="center"/>
    </xf>
    <xf numFmtId="214" fontId="0" fillId="0" borderId="74" xfId="48" applyNumberFormat="1" applyFon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214" fontId="0" fillId="0" borderId="75" xfId="0" applyNumberFormat="1" applyBorder="1" applyAlignment="1">
      <alignment vertical="center"/>
    </xf>
    <xf numFmtId="214" fontId="0" fillId="0" borderId="75" xfId="48" applyNumberFormat="1" applyFont="1" applyBorder="1" applyAlignment="1">
      <alignment horizontal="right" vertical="center"/>
    </xf>
    <xf numFmtId="41" fontId="0" fillId="0" borderId="23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76" xfId="0" applyNumberFormat="1" applyBorder="1" applyAlignment="1">
      <alignment horizontal="right" vertical="center"/>
    </xf>
    <xf numFmtId="218" fontId="0" fillId="0" borderId="73" xfId="0" applyNumberFormat="1" applyBorder="1" applyAlignment="1">
      <alignment vertical="center"/>
    </xf>
    <xf numFmtId="41" fontId="0" fillId="0" borderId="40" xfId="0" applyNumberFormat="1" applyFont="1" applyBorder="1" applyAlignment="1">
      <alignment horizontal="left" vertical="center"/>
    </xf>
    <xf numFmtId="0" fontId="15" fillId="0" borderId="41" xfId="0" applyFont="1" applyBorder="1" applyAlignment="1">
      <alignment horizontal="left" vertical="center"/>
    </xf>
    <xf numFmtId="41" fontId="0" fillId="0" borderId="54" xfId="0" applyNumberFormat="1" applyBorder="1" applyAlignment="1">
      <alignment horizontal="right" vertical="center"/>
    </xf>
    <xf numFmtId="41" fontId="0" fillId="0" borderId="45" xfId="0" applyNumberFormat="1" applyBorder="1" applyAlignment="1">
      <alignment vertical="center"/>
    </xf>
    <xf numFmtId="41" fontId="0" fillId="0" borderId="52" xfId="0" applyNumberFormat="1" applyBorder="1" applyAlignment="1">
      <alignment vertical="center"/>
    </xf>
    <xf numFmtId="214" fontId="0" fillId="0" borderId="72" xfId="48" applyNumberFormat="1" applyFont="1" applyBorder="1" applyAlignment="1">
      <alignment vertical="center"/>
    </xf>
    <xf numFmtId="41" fontId="0" fillId="0" borderId="36" xfId="0" applyNumberFormat="1" applyBorder="1" applyAlignment="1">
      <alignment vertical="center"/>
    </xf>
    <xf numFmtId="41" fontId="0" fillId="0" borderId="37" xfId="0" applyNumberFormat="1" applyBorder="1" applyAlignment="1">
      <alignment vertical="center"/>
    </xf>
    <xf numFmtId="41" fontId="0" fillId="0" borderId="34" xfId="0" applyNumberFormat="1" applyBorder="1" applyAlignment="1">
      <alignment vertical="center"/>
    </xf>
    <xf numFmtId="215" fontId="0" fillId="0" borderId="73" xfId="48" applyNumberFormat="1" applyFont="1" applyBorder="1" applyAlignment="1">
      <alignment vertical="center"/>
    </xf>
    <xf numFmtId="41" fontId="0" fillId="0" borderId="40" xfId="0" applyNumberFormat="1" applyBorder="1" applyAlignment="1">
      <alignment vertical="center"/>
    </xf>
    <xf numFmtId="41" fontId="0" fillId="0" borderId="41" xfId="0" applyNumberFormat="1" applyBorder="1" applyAlignment="1">
      <alignment vertical="center"/>
    </xf>
    <xf numFmtId="41" fontId="0" fillId="0" borderId="54" xfId="0" applyNumberFormat="1" applyBorder="1" applyAlignment="1">
      <alignment vertical="center"/>
    </xf>
    <xf numFmtId="41" fontId="0" fillId="0" borderId="76" xfId="0" applyNumberFormat="1" applyBorder="1" applyAlignment="1">
      <alignment vertical="center"/>
    </xf>
    <xf numFmtId="215" fontId="0" fillId="0" borderId="75" xfId="48" applyNumberFormat="1" applyFont="1" applyFill="1" applyBorder="1" applyAlignment="1">
      <alignment vertical="center"/>
    </xf>
    <xf numFmtId="215" fontId="0" fillId="0" borderId="0" xfId="0" applyNumberFormat="1" applyBorder="1" applyAlignment="1">
      <alignment vertical="center"/>
    </xf>
    <xf numFmtId="215" fontId="0" fillId="0" borderId="0" xfId="48" applyNumberFormat="1" applyFont="1" applyFill="1" applyBorder="1" applyAlignment="1">
      <alignment vertical="center"/>
    </xf>
    <xf numFmtId="41" fontId="0" fillId="0" borderId="0" xfId="0" applyNumberFormat="1" applyFont="1" applyAlignment="1">
      <alignment horizontal="left"/>
    </xf>
    <xf numFmtId="0" fontId="0" fillId="0" borderId="62" xfId="0" applyNumberFormat="1" applyFont="1" applyBorder="1" applyAlignment="1">
      <alignment horizontal="center" vertical="center"/>
    </xf>
    <xf numFmtId="41" fontId="4" fillId="0" borderId="13" xfId="0" applyNumberFormat="1" applyFont="1" applyBorder="1" applyAlignment="1">
      <alignment horizontal="distributed" vertical="center"/>
    </xf>
    <xf numFmtId="0" fontId="4" fillId="0" borderId="0" xfId="0" applyNumberFormat="1" applyFont="1" applyBorder="1" applyAlignment="1">
      <alignment horizontal="distributed" vertical="center"/>
    </xf>
    <xf numFmtId="41" fontId="6" fillId="0" borderId="13" xfId="0" applyNumberFormat="1" applyFont="1" applyBorder="1" applyAlignment="1">
      <alignment horizontal="left" vertical="center"/>
    </xf>
    <xf numFmtId="41" fontId="0" fillId="0" borderId="10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centerContinuous" vertical="center"/>
    </xf>
    <xf numFmtId="41" fontId="0" fillId="0" borderId="23" xfId="0" applyNumberFormat="1" applyBorder="1" applyAlignment="1">
      <alignment horizontal="centerContinuous" vertical="center"/>
    </xf>
    <xf numFmtId="41" fontId="0" fillId="0" borderId="15" xfId="0" applyNumberFormat="1" applyBorder="1" applyAlignment="1">
      <alignment horizontal="centerContinuous" vertical="center"/>
    </xf>
    <xf numFmtId="41" fontId="0" fillId="0" borderId="12" xfId="0" applyNumberFormat="1" applyBorder="1" applyAlignment="1">
      <alignment horizontal="centerContinuous" vertical="center"/>
    </xf>
    <xf numFmtId="41" fontId="0" fillId="0" borderId="13" xfId="0" applyNumberFormat="1" applyBorder="1" applyAlignment="1">
      <alignment horizontal="centerContinuous" vertical="center"/>
    </xf>
    <xf numFmtId="41" fontId="0" fillId="0" borderId="63" xfId="0" applyNumberFormat="1" applyBorder="1" applyAlignment="1">
      <alignment horizontal="center" vertical="center"/>
    </xf>
    <xf numFmtId="41" fontId="0" fillId="0" borderId="68" xfId="0" applyNumberFormat="1" applyFont="1" applyBorder="1" applyAlignment="1">
      <alignment vertical="center"/>
    </xf>
    <xf numFmtId="0" fontId="0" fillId="0" borderId="69" xfId="0" applyBorder="1" applyAlignment="1">
      <alignment horizontal="distributed" vertical="center"/>
    </xf>
    <xf numFmtId="214" fontId="0" fillId="0" borderId="77" xfId="48" applyNumberFormat="1" applyFont="1" applyBorder="1" applyAlignment="1">
      <alignment horizontal="center" vertical="center"/>
    </xf>
    <xf numFmtId="214" fontId="0" fillId="0" borderId="78" xfId="48" applyNumberFormat="1" applyFont="1" applyBorder="1" applyAlignment="1">
      <alignment horizontal="center" vertical="center"/>
    </xf>
    <xf numFmtId="214" fontId="0" fillId="0" borderId="79" xfId="48" applyNumberFormat="1" applyFont="1" applyBorder="1" applyAlignment="1">
      <alignment horizontal="center" vertical="center"/>
    </xf>
    <xf numFmtId="214" fontId="0" fillId="0" borderId="19" xfId="48" applyNumberFormat="1" applyFont="1" applyBorder="1" applyAlignment="1">
      <alignment horizontal="center" vertical="center"/>
    </xf>
    <xf numFmtId="214" fontId="0" fillId="0" borderId="18" xfId="48" applyNumberFormat="1" applyFont="1" applyBorder="1" applyAlignment="1">
      <alignment horizontal="center" vertical="center"/>
    </xf>
    <xf numFmtId="214" fontId="0" fillId="0" borderId="80" xfId="48" applyNumberFormat="1" applyFont="1" applyBorder="1" applyAlignment="1">
      <alignment horizontal="center" vertical="center"/>
    </xf>
    <xf numFmtId="214" fontId="0" fillId="0" borderId="59" xfId="48" applyNumberFormat="1" applyFont="1" applyBorder="1" applyAlignment="1">
      <alignment horizontal="center" vertical="center"/>
    </xf>
    <xf numFmtId="214" fontId="0" fillId="0" borderId="16" xfId="48" applyNumberFormat="1" applyFont="1" applyBorder="1" applyAlignment="1">
      <alignment horizontal="center" vertical="center"/>
    </xf>
    <xf numFmtId="214" fontId="0" fillId="0" borderId="64" xfId="48" applyNumberFormat="1" applyFont="1" applyBorder="1" applyAlignment="1">
      <alignment horizontal="center" vertical="center"/>
    </xf>
    <xf numFmtId="214" fontId="0" fillId="0" borderId="61" xfId="48" applyNumberFormat="1" applyFont="1" applyBorder="1" applyAlignment="1">
      <alignment horizontal="center" vertical="center"/>
    </xf>
    <xf numFmtId="214" fontId="0" fillId="0" borderId="35" xfId="48" applyNumberFormat="1" applyFont="1" applyBorder="1" applyAlignment="1">
      <alignment horizontal="center" vertical="center"/>
    </xf>
    <xf numFmtId="214" fontId="0" fillId="0" borderId="22" xfId="48" applyNumberFormat="1" applyFont="1" applyBorder="1" applyAlignment="1">
      <alignment horizontal="center" vertical="center"/>
    </xf>
    <xf numFmtId="214" fontId="0" fillId="0" borderId="81" xfId="48" applyNumberFormat="1" applyFont="1" applyBorder="1" applyAlignment="1">
      <alignment vertical="center"/>
    </xf>
    <xf numFmtId="214" fontId="0" fillId="0" borderId="42" xfId="48" applyNumberFormat="1" applyFont="1" applyBorder="1" applyAlignment="1">
      <alignment vertical="center"/>
    </xf>
    <xf numFmtId="214" fontId="0" fillId="0" borderId="62" xfId="48" applyNumberFormat="1" applyFont="1" applyBorder="1" applyAlignment="1">
      <alignment vertical="center"/>
    </xf>
    <xf numFmtId="41" fontId="0" fillId="0" borderId="36" xfId="0" applyNumberFormat="1" applyFill="1" applyBorder="1" applyAlignment="1">
      <alignment horizontal="left" vertical="center"/>
    </xf>
    <xf numFmtId="41" fontId="0" fillId="0" borderId="37" xfId="0" applyNumberFormat="1" applyFill="1" applyBorder="1" applyAlignment="1">
      <alignment horizontal="left"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64" xfId="48" applyNumberFormat="1" applyFon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214" fontId="0" fillId="0" borderId="40" xfId="48" applyNumberFormat="1" applyFont="1" applyBorder="1" applyAlignment="1">
      <alignment vertical="center"/>
    </xf>
    <xf numFmtId="214" fontId="0" fillId="0" borderId="68" xfId="48" applyNumberFormat="1" applyFont="1" applyBorder="1" applyAlignment="1">
      <alignment vertical="center"/>
    </xf>
    <xf numFmtId="41" fontId="0" fillId="0" borderId="15" xfId="0" applyNumberFormat="1" applyBorder="1" applyAlignment="1" quotePrefix="1">
      <alignment horizontal="right" vertical="center"/>
    </xf>
    <xf numFmtId="41" fontId="0" fillId="0" borderId="37" xfId="0" applyNumberFormat="1" applyBorder="1" applyAlignment="1" quotePrefix="1">
      <alignment horizontal="right" vertical="center"/>
    </xf>
    <xf numFmtId="41" fontId="0" fillId="0" borderId="13" xfId="0" applyNumberFormat="1" applyBorder="1" applyAlignment="1" quotePrefix="1">
      <alignment horizontal="right" vertical="center"/>
    </xf>
    <xf numFmtId="214" fontId="0" fillId="0" borderId="38" xfId="48" applyNumberFormat="1" applyFont="1" applyBorder="1" applyAlignment="1">
      <alignment vertical="center"/>
    </xf>
    <xf numFmtId="41" fontId="0" fillId="0" borderId="0" xfId="0" applyNumberFormat="1" applyFont="1" applyAlignment="1">
      <alignment horizontal="left" vertical="center"/>
    </xf>
    <xf numFmtId="215" fontId="0" fillId="0" borderId="79" xfId="48" applyNumberFormat="1" applyFont="1" applyBorder="1" applyAlignment="1">
      <alignment vertical="center"/>
    </xf>
    <xf numFmtId="215" fontId="0" fillId="0" borderId="82" xfId="48" applyNumberFormat="1" applyFont="1" applyBorder="1" applyAlignment="1">
      <alignment vertical="center"/>
    </xf>
    <xf numFmtId="0" fontId="0" fillId="0" borderId="58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vertical="center"/>
    </xf>
    <xf numFmtId="215" fontId="0" fillId="0" borderId="21" xfId="48" applyNumberFormat="1" applyFont="1" applyBorder="1" applyAlignment="1">
      <alignment vertical="center"/>
    </xf>
    <xf numFmtId="215" fontId="0" fillId="0" borderId="83" xfId="48" applyNumberFormat="1" applyFont="1" applyBorder="1" applyAlignment="1">
      <alignment vertical="center"/>
    </xf>
    <xf numFmtId="215" fontId="0" fillId="0" borderId="64" xfId="48" applyNumberFormat="1" applyFont="1" applyBorder="1" applyAlignment="1">
      <alignment vertical="center"/>
    </xf>
    <xf numFmtId="215" fontId="0" fillId="0" borderId="80" xfId="48" applyNumberFormat="1" applyFont="1" applyBorder="1" applyAlignment="1">
      <alignment vertical="center"/>
    </xf>
    <xf numFmtId="215" fontId="0" fillId="0" borderId="62" xfId="48" applyNumberFormat="1" applyFont="1" applyBorder="1" applyAlignment="1">
      <alignment vertical="center"/>
    </xf>
    <xf numFmtId="215" fontId="0" fillId="0" borderId="22" xfId="48" applyNumberFormat="1" applyFont="1" applyBorder="1" applyAlignment="1">
      <alignment vertical="center"/>
    </xf>
    <xf numFmtId="215" fontId="0" fillId="0" borderId="84" xfId="48" applyNumberFormat="1" applyFont="1" applyBorder="1" applyAlignment="1">
      <alignment vertical="center"/>
    </xf>
    <xf numFmtId="0" fontId="0" fillId="0" borderId="22" xfId="0" applyNumberFormat="1" applyFont="1" applyBorder="1" applyAlignment="1">
      <alignment horizontal="center" vertical="center"/>
    </xf>
    <xf numFmtId="41" fontId="0" fillId="0" borderId="84" xfId="0" applyNumberFormat="1" applyBorder="1" applyAlignment="1">
      <alignment horizontal="center" vertical="center"/>
    </xf>
    <xf numFmtId="214" fontId="0" fillId="0" borderId="57" xfId="48" applyNumberFormat="1" applyBorder="1" applyAlignment="1">
      <alignment vertical="center"/>
    </xf>
    <xf numFmtId="214" fontId="0" fillId="0" borderId="59" xfId="48" applyNumberFormat="1" applyBorder="1" applyAlignment="1">
      <alignment vertical="center"/>
    </xf>
    <xf numFmtId="214" fontId="0" fillId="0" borderId="19" xfId="48" applyNumberFormat="1" applyBorder="1" applyAlignment="1">
      <alignment vertical="center"/>
    </xf>
    <xf numFmtId="214" fontId="0" fillId="0" borderId="36" xfId="48" applyNumberFormat="1" applyBorder="1" applyAlignment="1">
      <alignment vertical="center"/>
    </xf>
    <xf numFmtId="214" fontId="0" fillId="0" borderId="12" xfId="48" applyNumberFormat="1" applyFont="1" applyBorder="1" applyAlignment="1" quotePrefix="1">
      <alignment horizontal="right" vertical="center"/>
    </xf>
    <xf numFmtId="214" fontId="0" fillId="0" borderId="14" xfId="48" applyNumberFormat="1" applyBorder="1" applyAlignment="1">
      <alignment vertical="center"/>
    </xf>
    <xf numFmtId="214" fontId="0" fillId="0" borderId="12" xfId="48" applyNumberFormat="1" applyBorder="1" applyAlignment="1">
      <alignment vertical="center"/>
    </xf>
    <xf numFmtId="214" fontId="0" fillId="0" borderId="61" xfId="48" applyNumberFormat="1" applyFont="1" applyBorder="1" applyAlignment="1" quotePrefix="1">
      <alignment horizontal="right" vertical="center"/>
    </xf>
    <xf numFmtId="214" fontId="0" fillId="0" borderId="63" xfId="48" applyNumberFormat="1" applyBorder="1" applyAlignment="1">
      <alignment vertical="center"/>
    </xf>
    <xf numFmtId="214" fontId="0" fillId="0" borderId="60" xfId="48" applyNumberFormat="1" applyBorder="1" applyAlignment="1">
      <alignment vertical="center"/>
    </xf>
    <xf numFmtId="214" fontId="0" fillId="0" borderId="36" xfId="48" applyNumberFormat="1" applyFont="1" applyBorder="1" applyAlignment="1" quotePrefix="1">
      <alignment horizontal="right" vertical="center"/>
    </xf>
    <xf numFmtId="214" fontId="0" fillId="0" borderId="23" xfId="48" applyNumberFormat="1" applyBorder="1" applyAlignment="1">
      <alignment vertical="center"/>
    </xf>
    <xf numFmtId="214" fontId="0" fillId="0" borderId="61" xfId="48" applyNumberFormat="1" applyBorder="1" applyAlignment="1">
      <alignment vertical="center"/>
    </xf>
    <xf numFmtId="214" fontId="0" fillId="0" borderId="14" xfId="48" applyNumberFormat="1" applyFont="1" applyFill="1" applyBorder="1" applyAlignment="1">
      <alignment vertical="center"/>
    </xf>
    <xf numFmtId="41" fontId="0" fillId="0" borderId="71" xfId="0" applyNumberFormat="1" applyFont="1" applyBorder="1" applyAlignment="1">
      <alignment horizontal="center" vertical="center"/>
    </xf>
    <xf numFmtId="214" fontId="0" fillId="0" borderId="72" xfId="0" applyNumberFormat="1" applyFont="1" applyBorder="1" applyAlignment="1">
      <alignment vertical="center"/>
    </xf>
    <xf numFmtId="214" fontId="0" fillId="0" borderId="72" xfId="48" applyNumberFormat="1" applyFont="1" applyFill="1" applyBorder="1" applyAlignment="1">
      <alignment horizontal="right" vertical="center"/>
    </xf>
    <xf numFmtId="214" fontId="0" fillId="0" borderId="72" xfId="48" applyNumberFormat="1" applyFill="1" applyBorder="1" applyAlignment="1">
      <alignment horizontal="right" vertical="center"/>
    </xf>
    <xf numFmtId="214" fontId="0" fillId="0" borderId="73" xfId="0" applyNumberFormat="1" applyFont="1" applyBorder="1" applyAlignment="1">
      <alignment vertical="center"/>
    </xf>
    <xf numFmtId="214" fontId="0" fillId="0" borderId="73" xfId="48" applyNumberFormat="1" applyBorder="1" applyAlignment="1">
      <alignment horizontal="right" vertical="center"/>
    </xf>
    <xf numFmtId="41" fontId="0" fillId="0" borderId="73" xfId="0" applyNumberFormat="1" applyFont="1" applyBorder="1" applyAlignment="1">
      <alignment vertical="center"/>
    </xf>
    <xf numFmtId="214" fontId="0" fillId="0" borderId="74" xfId="0" applyNumberFormat="1" applyFont="1" applyBorder="1" applyAlignment="1">
      <alignment vertical="center"/>
    </xf>
    <xf numFmtId="214" fontId="0" fillId="0" borderId="74" xfId="48" applyNumberFormat="1" applyBorder="1" applyAlignment="1">
      <alignment horizontal="right" vertical="center"/>
    </xf>
    <xf numFmtId="215" fontId="0" fillId="0" borderId="74" xfId="48" applyNumberFormat="1" applyBorder="1" applyAlignment="1">
      <alignment horizontal="right" vertical="center"/>
    </xf>
    <xf numFmtId="214" fontId="0" fillId="0" borderId="75" xfId="0" applyNumberFormat="1" applyFont="1" applyBorder="1" applyAlignment="1">
      <alignment vertical="center"/>
    </xf>
    <xf numFmtId="214" fontId="0" fillId="0" borderId="75" xfId="48" applyNumberFormat="1" applyBorder="1" applyAlignment="1">
      <alignment horizontal="right" vertical="center"/>
    </xf>
    <xf numFmtId="214" fontId="0" fillId="0" borderId="71" xfId="0" applyNumberFormat="1" applyFont="1" applyBorder="1" applyAlignment="1">
      <alignment vertical="center"/>
    </xf>
    <xf numFmtId="214" fontId="0" fillId="0" borderId="71" xfId="48" applyNumberFormat="1" applyFont="1" applyFill="1" applyBorder="1" applyAlignment="1">
      <alignment horizontal="right" vertical="center"/>
    </xf>
    <xf numFmtId="214" fontId="0" fillId="0" borderId="71" xfId="48" applyNumberFormat="1" applyFill="1" applyBorder="1" applyAlignment="1">
      <alignment horizontal="right" vertical="center"/>
    </xf>
    <xf numFmtId="214" fontId="0" fillId="0" borderId="71" xfId="48" applyNumberFormat="1" applyBorder="1" applyAlignment="1">
      <alignment horizontal="right" vertical="center"/>
    </xf>
    <xf numFmtId="214" fontId="0" fillId="0" borderId="73" xfId="48" applyNumberFormat="1" applyFont="1" applyFill="1" applyBorder="1" applyAlignment="1">
      <alignment horizontal="right" vertical="center"/>
    </xf>
    <xf numFmtId="214" fontId="0" fillId="0" borderId="73" xfId="48" applyNumberFormat="1" applyFill="1" applyBorder="1" applyAlignment="1">
      <alignment horizontal="right" vertical="center"/>
    </xf>
    <xf numFmtId="214" fontId="0" fillId="0" borderId="73" xfId="0" applyNumberFormat="1" applyFill="1" applyBorder="1" applyAlignment="1">
      <alignment vertical="center"/>
    </xf>
    <xf numFmtId="218" fontId="0" fillId="0" borderId="73" xfId="0" applyNumberFormat="1" applyFill="1" applyBorder="1" applyAlignment="1">
      <alignment vertical="center"/>
    </xf>
    <xf numFmtId="214" fontId="0" fillId="0" borderId="75" xfId="48" applyNumberFormat="1" applyFill="1" applyBorder="1" applyAlignment="1">
      <alignment horizontal="right" vertical="center"/>
    </xf>
    <xf numFmtId="214" fontId="0" fillId="0" borderId="72" xfId="48" applyNumberFormat="1" applyFill="1" applyBorder="1" applyAlignment="1">
      <alignment vertical="center"/>
    </xf>
    <xf numFmtId="214" fontId="0" fillId="0" borderId="72" xfId="48" applyNumberFormat="1" applyBorder="1" applyAlignment="1">
      <alignment vertical="center"/>
    </xf>
    <xf numFmtId="219" fontId="0" fillId="0" borderId="73" xfId="0" applyNumberFormat="1" applyFont="1" applyBorder="1" applyAlignment="1">
      <alignment vertical="center"/>
    </xf>
    <xf numFmtId="219" fontId="0" fillId="0" borderId="73" xfId="48" applyNumberFormat="1" applyFont="1" applyFill="1" applyBorder="1" applyAlignment="1">
      <alignment vertical="center"/>
    </xf>
    <xf numFmtId="219" fontId="0" fillId="0" borderId="73" xfId="48" applyNumberFormat="1" applyFill="1" applyBorder="1" applyAlignment="1">
      <alignment vertical="center"/>
    </xf>
    <xf numFmtId="219" fontId="0" fillId="0" borderId="73" xfId="48" applyNumberFormat="1" applyBorder="1" applyAlignment="1">
      <alignment vertical="center"/>
    </xf>
    <xf numFmtId="215" fontId="0" fillId="0" borderId="73" xfId="0" applyNumberFormat="1" applyFont="1" applyBorder="1" applyAlignment="1">
      <alignment vertical="center"/>
    </xf>
    <xf numFmtId="215" fontId="0" fillId="0" borderId="73" xfId="48" applyNumberFormat="1" applyFont="1" applyFill="1" applyBorder="1" applyAlignment="1">
      <alignment vertical="center"/>
    </xf>
    <xf numFmtId="215" fontId="0" fillId="0" borderId="73" xfId="48" applyNumberFormat="1" applyFill="1" applyBorder="1" applyAlignment="1">
      <alignment vertical="center"/>
    </xf>
    <xf numFmtId="215" fontId="0" fillId="0" borderId="73" xfId="48" applyNumberFormat="1" applyBorder="1" applyAlignment="1">
      <alignment vertical="center"/>
    </xf>
    <xf numFmtId="215" fontId="0" fillId="0" borderId="75" xfId="0" applyNumberFormat="1" applyFont="1" applyBorder="1" applyAlignment="1">
      <alignment vertical="center"/>
    </xf>
    <xf numFmtId="215" fontId="0" fillId="0" borderId="75" xfId="48" applyNumberFormat="1" applyFill="1" applyBorder="1" applyAlignment="1">
      <alignment vertical="center"/>
    </xf>
    <xf numFmtId="215" fontId="0" fillId="0" borderId="71" xfId="0" applyNumberFormat="1" applyFont="1" applyBorder="1" applyAlignment="1">
      <alignment vertical="center"/>
    </xf>
    <xf numFmtId="215" fontId="0" fillId="0" borderId="71" xfId="48" applyNumberFormat="1" applyFill="1" applyBorder="1" applyAlignment="1">
      <alignment vertical="center"/>
    </xf>
    <xf numFmtId="215" fontId="0" fillId="0" borderId="71" xfId="48" applyNumberFormat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45" xfId="48" applyNumberFormat="1" applyFont="1" applyFill="1" applyBorder="1" applyAlignment="1">
      <alignment vertical="center"/>
    </xf>
    <xf numFmtId="214" fontId="0" fillId="0" borderId="0" xfId="48" applyNumberFormat="1" applyFont="1" applyFill="1" applyBorder="1" applyAlignment="1">
      <alignment vertical="center"/>
    </xf>
    <xf numFmtId="41" fontId="0" fillId="0" borderId="71" xfId="0" applyNumberFormat="1" applyFill="1" applyBorder="1" applyAlignment="1">
      <alignment horizontal="center" vertical="center"/>
    </xf>
    <xf numFmtId="214" fontId="0" fillId="0" borderId="74" xfId="48" applyNumberFormat="1" applyFill="1" applyBorder="1" applyAlignment="1">
      <alignment horizontal="right" vertical="center"/>
    </xf>
    <xf numFmtId="214" fontId="0" fillId="0" borderId="75" xfId="48" applyNumberFormat="1" applyFont="1" applyFill="1" applyBorder="1" applyAlignment="1">
      <alignment horizontal="right" vertical="center"/>
    </xf>
    <xf numFmtId="214" fontId="0" fillId="0" borderId="72" xfId="48" applyNumberFormat="1" applyFont="1" applyFill="1" applyBorder="1" applyAlignment="1">
      <alignment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 quotePrefix="1">
      <alignment horizontal="right"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61" xfId="48" applyNumberFormat="1" applyFont="1" applyFill="1" applyBorder="1" applyAlignment="1">
      <alignment vertical="center"/>
    </xf>
    <xf numFmtId="214" fontId="0" fillId="0" borderId="19" xfId="48" applyNumberFormat="1" applyFill="1" applyBorder="1" applyAlignment="1">
      <alignment vertical="center"/>
    </xf>
    <xf numFmtId="214" fontId="0" fillId="0" borderId="63" xfId="48" applyNumberFormat="1" applyFill="1" applyBorder="1" applyAlignment="1">
      <alignment vertical="center"/>
    </xf>
    <xf numFmtId="214" fontId="0" fillId="0" borderId="59" xfId="48" applyNumberFormat="1" applyFill="1" applyBorder="1" applyAlignment="1">
      <alignment vertical="center"/>
    </xf>
    <xf numFmtId="214" fontId="0" fillId="0" borderId="12" xfId="48" applyNumberFormat="1" applyFill="1" applyBorder="1" applyAlignment="1">
      <alignment vertical="center"/>
    </xf>
    <xf numFmtId="214" fontId="0" fillId="0" borderId="23" xfId="48" applyNumberFormat="1" applyFill="1" applyBorder="1" applyAlignment="1">
      <alignment vertical="center"/>
    </xf>
    <xf numFmtId="214" fontId="0" fillId="0" borderId="61" xfId="48" applyNumberFormat="1" applyFill="1" applyBorder="1" applyAlignment="1">
      <alignment vertical="center"/>
    </xf>
    <xf numFmtId="214" fontId="0" fillId="0" borderId="60" xfId="48" applyNumberFormat="1" applyFill="1" applyBorder="1" applyAlignment="1">
      <alignment vertical="center"/>
    </xf>
    <xf numFmtId="214" fontId="0" fillId="0" borderId="57" xfId="48" applyNumberFormat="1" applyFont="1" applyFill="1" applyBorder="1" applyAlignment="1">
      <alignment vertical="center"/>
    </xf>
    <xf numFmtId="214" fontId="0" fillId="0" borderId="57" xfId="48" applyNumberFormat="1" applyFill="1" applyBorder="1" applyAlignment="1">
      <alignment vertical="center"/>
    </xf>
    <xf numFmtId="214" fontId="0" fillId="0" borderId="56" xfId="48" applyNumberFormat="1" applyFill="1" applyBorder="1" applyAlignment="1">
      <alignment vertical="center"/>
    </xf>
    <xf numFmtId="214" fontId="0" fillId="0" borderId="36" xfId="48" applyNumberFormat="1" applyFill="1" applyBorder="1" applyAlignment="1">
      <alignment vertical="center"/>
    </xf>
    <xf numFmtId="214" fontId="0" fillId="0" borderId="16" xfId="0" applyNumberFormat="1" applyFill="1" applyBorder="1" applyAlignment="1" quotePrefix="1">
      <alignment horizontal="right" vertical="center"/>
    </xf>
    <xf numFmtId="214" fontId="0" fillId="0" borderId="14" xfId="48" applyNumberFormat="1" applyFill="1" applyBorder="1" applyAlignment="1">
      <alignment vertical="center"/>
    </xf>
    <xf numFmtId="214" fontId="0" fillId="0" borderId="17" xfId="48" applyNumberFormat="1" applyFont="1" applyFill="1" applyBorder="1" applyAlignment="1">
      <alignment vertical="center"/>
    </xf>
    <xf numFmtId="214" fontId="0" fillId="0" borderId="17" xfId="48" applyNumberFormat="1" applyFill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73" xfId="0" applyNumberFormat="1" applyFill="1" applyBorder="1" applyAlignment="1" quotePrefix="1">
      <alignment horizontal="right" vertical="center"/>
    </xf>
    <xf numFmtId="41" fontId="0" fillId="0" borderId="63" xfId="0" applyNumberFormat="1" applyFill="1" applyBorder="1" applyAlignment="1">
      <alignment horizontal="center" vertical="center"/>
    </xf>
    <xf numFmtId="41" fontId="0" fillId="0" borderId="31" xfId="0" applyNumberFormat="1" applyFill="1" applyBorder="1" applyAlignment="1">
      <alignment horizontal="center" vertical="center"/>
    </xf>
    <xf numFmtId="214" fontId="0" fillId="0" borderId="77" xfId="48" applyNumberFormat="1" applyFont="1" applyFill="1" applyBorder="1" applyAlignment="1">
      <alignment horizontal="center" vertical="center"/>
    </xf>
    <xf numFmtId="214" fontId="0" fillId="0" borderId="77" xfId="48" applyNumberFormat="1" applyFill="1" applyBorder="1" applyAlignment="1">
      <alignment horizontal="center" vertical="center"/>
    </xf>
    <xf numFmtId="214" fontId="0" fillId="0" borderId="19" xfId="48" applyNumberFormat="1" applyFont="1" applyFill="1" applyBorder="1" applyAlignment="1">
      <alignment horizontal="center" vertical="center"/>
    </xf>
    <xf numFmtId="214" fontId="0" fillId="0" borderId="19" xfId="48" applyNumberFormat="1" applyFill="1" applyBorder="1" applyAlignment="1">
      <alignment horizontal="center" vertical="center"/>
    </xf>
    <xf numFmtId="214" fontId="0" fillId="0" borderId="59" xfId="48" applyNumberFormat="1" applyFont="1" applyFill="1" applyBorder="1" applyAlignment="1">
      <alignment horizontal="center" vertical="center"/>
    </xf>
    <xf numFmtId="214" fontId="0" fillId="0" borderId="59" xfId="48" applyNumberFormat="1" applyFill="1" applyBorder="1" applyAlignment="1">
      <alignment horizontal="center" vertical="center"/>
    </xf>
    <xf numFmtId="214" fontId="0" fillId="0" borderId="61" xfId="48" applyNumberFormat="1" applyFont="1" applyFill="1" applyBorder="1" applyAlignment="1">
      <alignment horizontal="center" vertical="center"/>
    </xf>
    <xf numFmtId="214" fontId="0" fillId="0" borderId="61" xfId="48" applyNumberFormat="1" applyFill="1" applyBorder="1" applyAlignment="1">
      <alignment horizontal="center" vertical="center"/>
    </xf>
    <xf numFmtId="214" fontId="0" fillId="0" borderId="81" xfId="48" applyNumberFormat="1" applyFont="1" applyFill="1" applyBorder="1" applyAlignment="1">
      <alignment vertical="center"/>
    </xf>
    <xf numFmtId="214" fontId="0" fillId="0" borderId="81" xfId="48" applyNumberFormat="1" applyFill="1" applyBorder="1" applyAlignment="1">
      <alignment vertical="center"/>
    </xf>
    <xf numFmtId="214" fontId="0" fillId="0" borderId="59" xfId="48" applyNumberFormat="1" applyFont="1" applyFill="1" applyBorder="1" applyAlignment="1">
      <alignment vertical="center"/>
    </xf>
    <xf numFmtId="214" fontId="0" fillId="0" borderId="12" xfId="48" applyNumberFormat="1" applyFont="1" applyFill="1" applyBorder="1" applyAlignment="1">
      <alignment vertical="center"/>
    </xf>
    <xf numFmtId="214" fontId="0" fillId="0" borderId="23" xfId="48" applyNumberFormat="1" applyFont="1" applyFill="1" applyBorder="1" applyAlignment="1">
      <alignment vertical="center"/>
    </xf>
    <xf numFmtId="214" fontId="0" fillId="0" borderId="40" xfId="48" applyNumberFormat="1" applyFont="1" applyFill="1" applyBorder="1" applyAlignment="1">
      <alignment vertical="center"/>
    </xf>
    <xf numFmtId="214" fontId="0" fillId="0" borderId="40" xfId="48" applyNumberFormat="1" applyFill="1" applyBorder="1" applyAlignment="1">
      <alignment vertical="center"/>
    </xf>
    <xf numFmtId="214" fontId="0" fillId="0" borderId="68" xfId="48" applyNumberFormat="1" applyFont="1" applyFill="1" applyBorder="1" applyAlignment="1">
      <alignment vertical="center"/>
    </xf>
    <xf numFmtId="214" fontId="0" fillId="0" borderId="68" xfId="48" applyNumberFormat="1" applyFill="1" applyBorder="1" applyAlignment="1">
      <alignment vertical="center"/>
    </xf>
    <xf numFmtId="214" fontId="0" fillId="0" borderId="0" xfId="48" applyNumberFormat="1" applyFont="1" applyFill="1" applyBorder="1" applyAlignment="1">
      <alignment vertical="center"/>
    </xf>
    <xf numFmtId="214" fontId="0" fillId="0" borderId="46" xfId="48" applyNumberFormat="1" applyFont="1" applyFill="1" applyBorder="1" applyAlignment="1">
      <alignment vertical="center"/>
    </xf>
    <xf numFmtId="214" fontId="0" fillId="0" borderId="37" xfId="48" applyNumberFormat="1" applyFont="1" applyFill="1" applyBorder="1" applyAlignment="1">
      <alignment vertical="center"/>
    </xf>
    <xf numFmtId="214" fontId="0" fillId="0" borderId="41" xfId="48" applyNumberFormat="1" applyFont="1" applyFill="1" applyBorder="1" applyAlignment="1">
      <alignment vertical="center"/>
    </xf>
    <xf numFmtId="214" fontId="0" fillId="0" borderId="13" xfId="48" applyNumberFormat="1" applyFont="1" applyFill="1" applyBorder="1" applyAlignment="1">
      <alignment vertical="center"/>
    </xf>
    <xf numFmtId="215" fontId="0" fillId="0" borderId="64" xfId="48" applyNumberFormat="1" applyFont="1" applyBorder="1" applyAlignment="1">
      <alignment horizontal="right" vertical="center"/>
    </xf>
    <xf numFmtId="215" fontId="0" fillId="0" borderId="62" xfId="48" applyNumberFormat="1" applyFont="1" applyBorder="1" applyAlignment="1">
      <alignment horizontal="right" vertical="center"/>
    </xf>
    <xf numFmtId="215" fontId="0" fillId="0" borderId="34" xfId="48" applyNumberFormat="1" applyFont="1" applyBorder="1" applyAlignment="1">
      <alignment horizontal="right" vertical="center"/>
    </xf>
    <xf numFmtId="215" fontId="0" fillId="0" borderId="54" xfId="48" applyNumberFormat="1" applyFont="1" applyBorder="1" applyAlignment="1">
      <alignment horizontal="right" vertical="center"/>
    </xf>
    <xf numFmtId="214" fontId="0" fillId="0" borderId="59" xfId="48" applyNumberFormat="1" applyFont="1" applyFill="1" applyBorder="1" applyAlignment="1" quotePrefix="1">
      <alignment horizontal="right" vertical="center"/>
    </xf>
    <xf numFmtId="214" fontId="0" fillId="0" borderId="59" xfId="0" applyNumberFormat="1" applyFill="1" applyBorder="1" applyAlignment="1" quotePrefix="1">
      <alignment horizontal="right" vertical="center"/>
    </xf>
    <xf numFmtId="214" fontId="0" fillId="0" borderId="61" xfId="48" applyNumberFormat="1" applyFont="1" applyFill="1" applyBorder="1" applyAlignment="1" quotePrefix="1">
      <alignment horizontal="right" vertical="center"/>
    </xf>
    <xf numFmtId="214" fontId="0" fillId="0" borderId="59" xfId="48" applyNumberFormat="1" applyFont="1" applyFill="1" applyBorder="1" applyAlignment="1">
      <alignment horizontal="right" vertical="center"/>
    </xf>
    <xf numFmtId="214" fontId="0" fillId="0" borderId="77" xfId="48" applyNumberFormat="1" applyBorder="1" applyAlignment="1">
      <alignment horizontal="center" vertical="center"/>
    </xf>
    <xf numFmtId="214" fontId="0" fillId="0" borderId="19" xfId="48" applyNumberFormat="1" applyBorder="1" applyAlignment="1">
      <alignment horizontal="center" vertical="center"/>
    </xf>
    <xf numFmtId="214" fontId="0" fillId="0" borderId="59" xfId="48" applyNumberFormat="1" applyBorder="1" applyAlignment="1">
      <alignment horizontal="center" vertical="center"/>
    </xf>
    <xf numFmtId="214" fontId="0" fillId="0" borderId="61" xfId="48" applyNumberFormat="1" applyBorder="1" applyAlignment="1">
      <alignment horizontal="center" vertical="center"/>
    </xf>
    <xf numFmtId="214" fontId="0" fillId="0" borderId="81" xfId="48" applyNumberFormat="1" applyBorder="1" applyAlignment="1">
      <alignment vertical="center"/>
    </xf>
    <xf numFmtId="214" fontId="0" fillId="0" borderId="75" xfId="48" applyNumberFormat="1" applyBorder="1" applyAlignment="1">
      <alignment vertical="center"/>
    </xf>
    <xf numFmtId="214" fontId="0" fillId="0" borderId="77" xfId="48" applyNumberFormat="1" applyFont="1" applyFill="1" applyBorder="1" applyAlignment="1">
      <alignment horizontal="center" vertical="center"/>
    </xf>
    <xf numFmtId="214" fontId="0" fillId="0" borderId="19" xfId="48" applyNumberFormat="1" applyFont="1" applyFill="1" applyBorder="1" applyAlignment="1">
      <alignment horizontal="center" vertical="center"/>
    </xf>
    <xf numFmtId="214" fontId="0" fillId="0" borderId="59" xfId="48" applyNumberFormat="1" applyFont="1" applyFill="1" applyBorder="1" applyAlignment="1">
      <alignment horizontal="center" vertical="center"/>
    </xf>
    <xf numFmtId="214" fontId="0" fillId="0" borderId="81" xfId="48" applyNumberFormat="1" applyFont="1" applyFill="1" applyBorder="1" applyAlignment="1">
      <alignment vertical="center"/>
    </xf>
    <xf numFmtId="214" fontId="0" fillId="0" borderId="36" xfId="48" applyNumberFormat="1" applyFont="1" applyFill="1" applyBorder="1" applyAlignment="1">
      <alignment horizontal="center" vertical="center"/>
    </xf>
    <xf numFmtId="214" fontId="0" fillId="0" borderId="40" xfId="48" applyNumberFormat="1" applyFont="1" applyFill="1" applyBorder="1" applyAlignment="1">
      <alignment vertical="center"/>
    </xf>
    <xf numFmtId="41" fontId="0" fillId="0" borderId="66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41" fontId="0" fillId="0" borderId="85" xfId="0" applyNumberFormat="1" applyBorder="1" applyAlignment="1">
      <alignment horizontal="center" vertical="center"/>
    </xf>
    <xf numFmtId="41" fontId="0" fillId="0" borderId="86" xfId="0" applyNumberFormat="1" applyBorder="1" applyAlignment="1">
      <alignment horizontal="center" vertical="center"/>
    </xf>
    <xf numFmtId="41" fontId="0" fillId="0" borderId="67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4" fillId="0" borderId="13" xfId="0" applyNumberFormat="1" applyFont="1" applyBorder="1" applyAlignment="1">
      <alignment horizontal="center" vertical="center"/>
    </xf>
    <xf numFmtId="0" fontId="0" fillId="0" borderId="85" xfId="0" applyNumberFormat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  <xf numFmtId="0" fontId="0" fillId="0" borderId="67" xfId="0" applyBorder="1" applyAlignment="1">
      <alignment horizontal="center" vertical="center" textRotation="255"/>
    </xf>
    <xf numFmtId="41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69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2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214" fontId="0" fillId="0" borderId="83" xfId="48" applyNumberFormat="1" applyFont="1" applyBorder="1" applyAlignment="1">
      <alignment vertical="center"/>
    </xf>
    <xf numFmtId="214" fontId="0" fillId="0" borderId="80" xfId="0" applyNumberFormat="1" applyBorder="1" applyAlignment="1">
      <alignment vertical="center"/>
    </xf>
    <xf numFmtId="0" fontId="11" fillId="0" borderId="10" xfId="0" applyNumberFormat="1" applyFont="1" applyBorder="1" applyAlignment="1">
      <alignment horizontal="distributed"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48" xfId="0" applyNumberFormat="1" applyFont="1" applyBorder="1" applyAlignment="1">
      <alignment horizontal="distributed" vertical="center"/>
    </xf>
    <xf numFmtId="0" fontId="11" fillId="0" borderId="12" xfId="0" applyNumberFormat="1" applyFont="1" applyBorder="1" applyAlignment="1">
      <alignment horizontal="distributed" vertical="center"/>
    </xf>
    <xf numFmtId="0" fontId="11" fillId="0" borderId="13" xfId="0" applyNumberFormat="1" applyFont="1" applyBorder="1" applyAlignment="1">
      <alignment horizontal="distributed" vertical="center"/>
    </xf>
    <xf numFmtId="0" fontId="11" fillId="0" borderId="20" xfId="0" applyNumberFormat="1" applyFont="1" applyBorder="1" applyAlignment="1">
      <alignment horizontal="distributed"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19" xfId="0" applyNumberFormat="1" applyFill="1" applyBorder="1" applyAlignment="1">
      <alignment vertical="center"/>
    </xf>
    <xf numFmtId="214" fontId="0" fillId="0" borderId="60" xfId="48" applyNumberFormat="1" applyFill="1" applyBorder="1" applyAlignment="1">
      <alignment vertical="center"/>
    </xf>
    <xf numFmtId="214" fontId="0" fillId="0" borderId="60" xfId="48" applyNumberFormat="1" applyFont="1" applyBorder="1" applyAlignment="1">
      <alignment vertical="center"/>
    </xf>
    <xf numFmtId="214" fontId="0" fillId="0" borderId="19" xfId="0" applyNumberFormat="1" applyBorder="1" applyAlignment="1">
      <alignment vertical="center"/>
    </xf>
    <xf numFmtId="217" fontId="10" fillId="0" borderId="85" xfId="48" applyNumberFormat="1" applyFont="1" applyBorder="1" applyAlignment="1">
      <alignment vertical="center" textRotation="255"/>
    </xf>
    <xf numFmtId="0" fontId="13" fillId="0" borderId="86" xfId="61" applyFont="1" applyBorder="1" applyAlignment="1">
      <alignment vertical="center" textRotation="255"/>
      <protection/>
    </xf>
    <xf numFmtId="0" fontId="13" fillId="0" borderId="67" xfId="61" applyFont="1" applyBorder="1" applyAlignment="1">
      <alignment vertical="center" textRotation="255"/>
      <protection/>
    </xf>
    <xf numFmtId="214" fontId="0" fillId="0" borderId="56" xfId="48" applyNumberFormat="1" applyFill="1" applyBorder="1" applyAlignment="1">
      <alignment vertical="center"/>
    </xf>
    <xf numFmtId="214" fontId="0" fillId="0" borderId="17" xfId="0" applyNumberFormat="1" applyFill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7" fontId="10" fillId="0" borderId="86" xfId="48" applyNumberFormat="1" applyFont="1" applyBorder="1" applyAlignment="1">
      <alignment vertical="center" textRotation="255"/>
    </xf>
    <xf numFmtId="217" fontId="10" fillId="0" borderId="67" xfId="48" applyNumberFormat="1" applyFont="1" applyBorder="1" applyAlignment="1">
      <alignment vertical="center" textRotation="255"/>
    </xf>
    <xf numFmtId="0" fontId="0" fillId="0" borderId="23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0" fontId="13" fillId="0" borderId="86" xfId="61" applyFont="1" applyBorder="1" applyAlignment="1">
      <alignment vertical="center"/>
      <protection/>
    </xf>
    <xf numFmtId="0" fontId="13" fillId="0" borderId="67" xfId="61" applyFont="1" applyBorder="1" applyAlignment="1">
      <alignment vertical="center"/>
      <protection/>
    </xf>
    <xf numFmtId="217" fontId="10" fillId="0" borderId="14" xfId="48" applyNumberFormat="1" applyFont="1" applyBorder="1" applyAlignment="1">
      <alignment vertical="center" textRotation="255"/>
    </xf>
    <xf numFmtId="0" fontId="13" fillId="0" borderId="14" xfId="61" applyFont="1" applyBorder="1" applyAlignment="1">
      <alignment vertical="center"/>
      <protection/>
    </xf>
    <xf numFmtId="0" fontId="13" fillId="0" borderId="12" xfId="61" applyFont="1" applyBorder="1" applyAlignment="1">
      <alignment vertical="center"/>
      <protection/>
    </xf>
    <xf numFmtId="0" fontId="11" fillId="0" borderId="10" xfId="60" applyNumberFormat="1" applyFont="1" applyBorder="1" applyAlignment="1">
      <alignment horizontal="distributed" vertical="center"/>
      <protection/>
    </xf>
    <xf numFmtId="0" fontId="11" fillId="0" borderId="11" xfId="0" applyFont="1" applyBorder="1" applyAlignment="1">
      <alignment horizontal="distributed" vertical="center"/>
    </xf>
    <xf numFmtId="0" fontId="11" fillId="0" borderId="48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41" fontId="0" fillId="0" borderId="50" xfId="0" applyNumberFormat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76" xfId="0" applyNumberFormat="1" applyFont="1" applyBorder="1" applyAlignment="1">
      <alignment horizontal="center" vertical="center"/>
    </xf>
    <xf numFmtId="203" fontId="0" fillId="0" borderId="76" xfId="0" applyNumberFormat="1" applyFont="1" applyBorder="1" applyAlignment="1">
      <alignment horizontal="center" vertical="center" shrinkToFit="1"/>
    </xf>
    <xf numFmtId="203" fontId="0" fillId="0" borderId="23" xfId="0" applyNumberFormat="1" applyFont="1" applyBorder="1" applyAlignment="1">
      <alignment horizontal="center" vertical="center"/>
    </xf>
    <xf numFmtId="203" fontId="0" fillId="0" borderId="76" xfId="0" applyNumberFormat="1" applyFont="1" applyBorder="1" applyAlignment="1">
      <alignment horizontal="center" vertical="center"/>
    </xf>
    <xf numFmtId="214" fontId="0" fillId="0" borderId="60" xfId="48" applyNumberFormat="1" applyBorder="1" applyAlignment="1">
      <alignment vertical="center"/>
    </xf>
    <xf numFmtId="203" fontId="0" fillId="0" borderId="23" xfId="0" applyNumberFormat="1" applyFont="1" applyBorder="1" applyAlignment="1">
      <alignment horizontal="center" vertical="center" shrinkToFit="1"/>
    </xf>
    <xf numFmtId="41" fontId="0" fillId="0" borderId="23" xfId="0" applyNumberFormat="1" applyFill="1" applyBorder="1" applyAlignment="1">
      <alignment horizontal="center" vertical="center" shrinkToFit="1"/>
    </xf>
    <xf numFmtId="41" fontId="0" fillId="0" borderId="76" xfId="0" applyNumberFormat="1" applyFill="1" applyBorder="1" applyAlignment="1">
      <alignment horizontal="center" vertical="center" shrinkToFit="1"/>
    </xf>
    <xf numFmtId="41" fontId="0" fillId="0" borderId="23" xfId="0" applyNumberFormat="1" applyBorder="1" applyAlignment="1">
      <alignment horizontal="center" vertical="center" shrinkToFit="1"/>
    </xf>
    <xf numFmtId="41" fontId="0" fillId="0" borderId="76" xfId="0" applyNumberFormat="1" applyBorder="1" applyAlignment="1">
      <alignment horizontal="center" vertical="center" shrinkToFit="1"/>
    </xf>
    <xf numFmtId="41" fontId="0" fillId="0" borderId="23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0" fontId="0" fillId="0" borderId="85" xfId="0" applyBorder="1" applyAlignment="1">
      <alignment horizontal="center" vertical="center" textRotation="255"/>
    </xf>
    <xf numFmtId="41" fontId="16" fillId="0" borderId="36" xfId="0" applyNumberFormat="1" applyFont="1" applyBorder="1" applyAlignment="1">
      <alignment horizontal="right" vertical="center"/>
    </xf>
    <xf numFmtId="41" fontId="16" fillId="0" borderId="34" xfId="0" applyNumberFormat="1" applyFont="1" applyBorder="1" applyAlignment="1">
      <alignment horizontal="right"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1" fillId="0" borderId="13" xfId="0" applyNumberFormat="1" applyFont="1" applyFill="1" applyBorder="1" applyAlignment="1">
      <alignment horizontal="distributed" vertical="center"/>
    </xf>
    <xf numFmtId="41" fontId="1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Alignment="1">
      <alignment horizontal="left" vertical="center"/>
    </xf>
    <xf numFmtId="0" fontId="11" fillId="0" borderId="10" xfId="60" applyNumberFormat="1" applyFont="1" applyFill="1" applyBorder="1" applyAlignment="1">
      <alignment horizontal="distributed" vertical="center"/>
      <protection/>
    </xf>
    <xf numFmtId="0" fontId="11" fillId="0" borderId="11" xfId="0" applyFont="1" applyFill="1" applyBorder="1" applyAlignment="1">
      <alignment horizontal="distributed" vertical="center"/>
    </xf>
    <xf numFmtId="0" fontId="11" fillId="0" borderId="48" xfId="0" applyFont="1" applyFill="1" applyBorder="1" applyAlignment="1">
      <alignment horizontal="distributed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76" xfId="0" applyNumberFormat="1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217" fontId="10" fillId="0" borderId="85" xfId="48" applyNumberFormat="1" applyFont="1" applyFill="1" applyBorder="1" applyAlignment="1">
      <alignment vertical="center" textRotation="255"/>
    </xf>
    <xf numFmtId="214" fontId="0" fillId="0" borderId="57" xfId="48" applyNumberFormat="1" applyFont="1" applyFill="1" applyBorder="1" applyAlignment="1">
      <alignment vertical="center"/>
    </xf>
    <xf numFmtId="214" fontId="0" fillId="0" borderId="58" xfId="48" applyNumberFormat="1" applyFont="1" applyFill="1" applyBorder="1" applyAlignment="1">
      <alignment vertical="center"/>
    </xf>
    <xf numFmtId="214" fontId="0" fillId="0" borderId="48" xfId="48" applyNumberFormat="1" applyFont="1" applyFill="1" applyBorder="1" applyAlignment="1">
      <alignment vertical="center"/>
    </xf>
    <xf numFmtId="217" fontId="10" fillId="0" borderId="86" xfId="48" applyNumberFormat="1" applyFont="1" applyFill="1" applyBorder="1" applyAlignment="1">
      <alignment vertical="center" textRotation="255"/>
    </xf>
    <xf numFmtId="214" fontId="0" fillId="0" borderId="16" xfId="48" applyNumberFormat="1" applyFont="1" applyFill="1" applyBorder="1" applyAlignment="1">
      <alignment vertical="center"/>
    </xf>
    <xf numFmtId="214" fontId="0" fillId="0" borderId="34" xfId="48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18" xfId="48" applyNumberFormat="1" applyFont="1" applyFill="1" applyBorder="1" applyAlignment="1">
      <alignment vertical="center"/>
    </xf>
    <xf numFmtId="214" fontId="0" fillId="0" borderId="52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33" xfId="48" applyNumberFormat="1" applyFont="1" applyFill="1" applyBorder="1" applyAlignment="1">
      <alignment vertical="center"/>
    </xf>
    <xf numFmtId="214" fontId="0" fillId="0" borderId="50" xfId="48" applyNumberFormat="1" applyFont="1" applyFill="1" applyBorder="1" applyAlignment="1">
      <alignment vertical="center"/>
    </xf>
    <xf numFmtId="214" fontId="0" fillId="0" borderId="56" xfId="48" applyNumberFormat="1" applyFont="1" applyFill="1" applyBorder="1" applyAlignment="1">
      <alignment vertical="center"/>
    </xf>
    <xf numFmtId="214" fontId="0" fillId="0" borderId="83" xfId="48" applyNumberFormat="1" applyFont="1" applyFill="1" applyBorder="1" applyAlignment="1">
      <alignment vertical="center"/>
    </xf>
    <xf numFmtId="214" fontId="0" fillId="0" borderId="34" xfId="48" applyNumberFormat="1" applyFont="1" applyFill="1" applyBorder="1" applyAlignment="1" quotePrefix="1">
      <alignment horizontal="right" vertical="center"/>
    </xf>
    <xf numFmtId="217" fontId="10" fillId="0" borderId="67" xfId="48" applyNumberFormat="1" applyFont="1" applyFill="1" applyBorder="1" applyAlignment="1">
      <alignment vertical="center" textRotation="255"/>
    </xf>
    <xf numFmtId="214" fontId="0" fillId="0" borderId="61" xfId="48" applyNumberFormat="1" applyFont="1" applyFill="1" applyBorder="1" applyAlignment="1" quotePrefix="1">
      <alignment horizontal="right" vertical="center"/>
    </xf>
    <xf numFmtId="214" fontId="0" fillId="0" borderId="13" xfId="48" applyNumberFormat="1" applyFont="1" applyFill="1" applyBorder="1" applyAlignment="1" quotePrefix="1">
      <alignment horizontal="right" vertical="center"/>
    </xf>
    <xf numFmtId="214" fontId="0" fillId="0" borderId="62" xfId="48" applyNumberFormat="1" applyFont="1" applyFill="1" applyBorder="1" applyAlignment="1" quotePrefix="1">
      <alignment horizontal="right" vertical="center"/>
    </xf>
    <xf numFmtId="214" fontId="0" fillId="0" borderId="63" xfId="48" applyNumberFormat="1" applyFont="1" applyFill="1" applyBorder="1" applyAlignment="1">
      <alignment vertical="center"/>
    </xf>
    <xf numFmtId="214" fontId="0" fillId="0" borderId="31" xfId="48" applyNumberFormat="1" applyFont="1" applyFill="1" applyBorder="1" applyAlignment="1">
      <alignment vertical="center"/>
    </xf>
    <xf numFmtId="214" fontId="0" fillId="0" borderId="55" xfId="48" applyNumberFormat="1" applyFont="1" applyFill="1" applyBorder="1" applyAlignment="1">
      <alignment vertical="center"/>
    </xf>
    <xf numFmtId="214" fontId="0" fillId="0" borderId="60" xfId="48" applyNumberFormat="1" applyFont="1" applyFill="1" applyBorder="1" applyAlignment="1">
      <alignment vertical="center"/>
    </xf>
    <xf numFmtId="214" fontId="0" fillId="0" borderId="83" xfId="48" applyNumberFormat="1" applyFont="1" applyFill="1" applyBorder="1" applyAlignment="1">
      <alignment vertical="center"/>
    </xf>
    <xf numFmtId="214" fontId="0" fillId="0" borderId="22" xfId="48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11" fillId="0" borderId="10" xfId="0" applyNumberFormat="1" applyFont="1" applyFill="1" applyBorder="1" applyAlignment="1">
      <alignment horizontal="distributed" vertical="center"/>
    </xf>
    <xf numFmtId="0" fontId="11" fillId="0" borderId="11" xfId="0" applyNumberFormat="1" applyFont="1" applyFill="1" applyBorder="1" applyAlignment="1">
      <alignment horizontal="distributed" vertical="center"/>
    </xf>
    <xf numFmtId="0" fontId="11" fillId="0" borderId="48" xfId="0" applyNumberFormat="1" applyFont="1" applyFill="1" applyBorder="1" applyAlignment="1">
      <alignment horizontal="distributed" vertical="center"/>
    </xf>
    <xf numFmtId="203" fontId="0" fillId="0" borderId="0" xfId="0" applyNumberFormat="1" applyFont="1" applyFill="1" applyBorder="1" applyAlignment="1">
      <alignment vertical="center"/>
    </xf>
    <xf numFmtId="0" fontId="11" fillId="0" borderId="12" xfId="0" applyNumberFormat="1" applyFont="1" applyFill="1" applyBorder="1" applyAlignment="1">
      <alignment horizontal="distributed" vertical="center"/>
    </xf>
    <xf numFmtId="0" fontId="11" fillId="0" borderId="13" xfId="0" applyNumberFormat="1" applyFont="1" applyFill="1" applyBorder="1" applyAlignment="1">
      <alignment horizontal="distributed" vertical="center"/>
    </xf>
    <xf numFmtId="0" fontId="11" fillId="0" borderId="20" xfId="0" applyNumberFormat="1" applyFont="1" applyFill="1" applyBorder="1" applyAlignment="1">
      <alignment horizontal="distributed" vertical="center"/>
    </xf>
    <xf numFmtId="203" fontId="0" fillId="0" borderId="35" xfId="0" applyNumberFormat="1" applyFont="1" applyFill="1" applyBorder="1" applyAlignment="1">
      <alignment horizontal="center" vertical="center"/>
    </xf>
    <xf numFmtId="203" fontId="0" fillId="0" borderId="20" xfId="0" applyNumberFormat="1" applyFont="1" applyFill="1" applyBorder="1" applyAlignment="1">
      <alignment horizontal="center" vertical="center"/>
    </xf>
    <xf numFmtId="203" fontId="0" fillId="0" borderId="22" xfId="0" applyNumberFormat="1" applyFont="1" applyFill="1" applyBorder="1" applyAlignment="1">
      <alignment horizontal="center" vertical="center"/>
    </xf>
    <xf numFmtId="203" fontId="0" fillId="0" borderId="0" xfId="0" applyNumberFormat="1" applyFont="1" applyFill="1" applyBorder="1" applyAlignment="1">
      <alignment horizontal="center" vertical="center"/>
    </xf>
    <xf numFmtId="214" fontId="0" fillId="0" borderId="0" xfId="48" applyNumberFormat="1" applyFont="1" applyFill="1" applyBorder="1" applyAlignment="1" quotePrefix="1">
      <alignment horizontal="right" vertical="center"/>
    </xf>
    <xf numFmtId="0" fontId="13" fillId="0" borderId="86" xfId="61" applyFont="1" applyFill="1" applyBorder="1" applyAlignment="1">
      <alignment vertical="center" textRotation="255"/>
      <protection/>
    </xf>
    <xf numFmtId="0" fontId="13" fillId="0" borderId="67" xfId="61" applyFont="1" applyFill="1" applyBorder="1" applyAlignment="1">
      <alignment vertical="center" textRotation="255"/>
      <protection/>
    </xf>
    <xf numFmtId="0" fontId="13" fillId="0" borderId="86" xfId="61" applyFont="1" applyFill="1" applyBorder="1" applyAlignment="1">
      <alignment vertical="center"/>
      <protection/>
    </xf>
    <xf numFmtId="0" fontId="13" fillId="0" borderId="67" xfId="61" applyFont="1" applyFill="1" applyBorder="1" applyAlignment="1">
      <alignment vertical="center"/>
      <protection/>
    </xf>
    <xf numFmtId="217" fontId="10" fillId="0" borderId="14" xfId="48" applyNumberFormat="1" applyFont="1" applyFill="1" applyBorder="1" applyAlignment="1">
      <alignment vertical="center" textRotation="255"/>
    </xf>
    <xf numFmtId="0" fontId="13" fillId="0" borderId="14" xfId="61" applyFont="1" applyFill="1" applyBorder="1" applyAlignment="1">
      <alignment vertical="center"/>
      <protection/>
    </xf>
    <xf numFmtId="0" fontId="13" fillId="0" borderId="12" xfId="61" applyFont="1" applyFill="1" applyBorder="1" applyAlignment="1">
      <alignment vertical="center"/>
      <protection/>
    </xf>
    <xf numFmtId="41" fontId="0" fillId="0" borderId="0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Alignment="1" quotePrefix="1">
      <alignment horizontal="right" vertical="center"/>
    </xf>
    <xf numFmtId="0" fontId="0" fillId="0" borderId="61" xfId="0" applyNumberFormat="1" applyFont="1" applyFill="1" applyBorder="1" applyAlignment="1">
      <alignment horizontal="center" vertical="center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11" xfId="0" applyNumberFormat="1" applyFont="1" applyFill="1" applyBorder="1" applyAlignment="1">
      <alignment horizontal="left" vertical="center"/>
    </xf>
    <xf numFmtId="41" fontId="0" fillId="0" borderId="48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Alignment="1">
      <alignment vertical="center"/>
    </xf>
    <xf numFmtId="41" fontId="0" fillId="0" borderId="16" xfId="0" applyNumberFormat="1" applyFont="1" applyFill="1" applyBorder="1" applyAlignment="1">
      <alignment horizontal="left" vertical="center"/>
    </xf>
    <xf numFmtId="41" fontId="0" fillId="0" borderId="37" xfId="0" applyNumberFormat="1" applyFont="1" applyFill="1" applyBorder="1" applyAlignment="1">
      <alignment horizontal="left" vertical="center"/>
    </xf>
    <xf numFmtId="41" fontId="0" fillId="0" borderId="34" xfId="0" applyNumberFormat="1" applyFont="1" applyFill="1" applyBorder="1" applyAlignment="1">
      <alignment horizontal="right" vertical="center"/>
    </xf>
    <xf numFmtId="41" fontId="0" fillId="0" borderId="17" xfId="0" applyNumberFormat="1" applyFont="1" applyFill="1" applyBorder="1" applyAlignment="1">
      <alignment vertical="center"/>
    </xf>
    <xf numFmtId="214" fontId="0" fillId="0" borderId="59" xfId="0" applyNumberFormat="1" applyFont="1" applyFill="1" applyBorder="1" applyAlignment="1" quotePrefix="1">
      <alignment horizontal="right" vertical="center"/>
    </xf>
    <xf numFmtId="41" fontId="0" fillId="0" borderId="14" xfId="0" applyNumberFormat="1" applyFont="1" applyFill="1" applyBorder="1" applyAlignment="1">
      <alignment horizontal="left" vertical="center"/>
    </xf>
    <xf numFmtId="41" fontId="0" fillId="0" borderId="45" xfId="0" applyNumberFormat="1" applyFont="1" applyFill="1" applyBorder="1" applyAlignment="1">
      <alignment horizontal="left" vertical="center"/>
    </xf>
    <xf numFmtId="41" fontId="0" fillId="0" borderId="52" xfId="0" applyNumberFormat="1" applyFont="1" applyFill="1" applyBorder="1" applyAlignment="1">
      <alignment horizontal="right" vertical="center"/>
    </xf>
    <xf numFmtId="41" fontId="0" fillId="0" borderId="14" xfId="0" applyNumberFormat="1" applyFont="1" applyFill="1" applyBorder="1" applyAlignment="1">
      <alignment vertical="center"/>
    </xf>
    <xf numFmtId="41" fontId="0" fillId="0" borderId="33" xfId="0" applyNumberFormat="1" applyFont="1" applyFill="1" applyBorder="1" applyAlignment="1">
      <alignment horizontal="left" vertical="center"/>
    </xf>
    <xf numFmtId="41" fontId="0" fillId="0" borderId="46" xfId="0" applyNumberFormat="1" applyFont="1" applyFill="1" applyBorder="1" applyAlignment="1">
      <alignment horizontal="left" vertical="center"/>
    </xf>
    <xf numFmtId="41" fontId="0" fillId="0" borderId="50" xfId="0" applyNumberFormat="1" applyFont="1" applyFill="1" applyBorder="1" applyAlignment="1">
      <alignment horizontal="right" vertical="center"/>
    </xf>
    <xf numFmtId="41" fontId="0" fillId="0" borderId="36" xfId="0" applyNumberFormat="1" applyFont="1" applyFill="1" applyBorder="1" applyAlignment="1">
      <alignment horizontal="left" vertical="center"/>
    </xf>
    <xf numFmtId="0" fontId="0" fillId="0" borderId="34" xfId="0" applyNumberFormat="1" applyFont="1" applyFill="1" applyBorder="1" applyAlignment="1">
      <alignment horizontal="center" vertical="center"/>
    </xf>
    <xf numFmtId="214" fontId="0" fillId="0" borderId="16" xfId="0" applyNumberFormat="1" applyFont="1" applyFill="1" applyBorder="1" applyAlignment="1" quotePrefix="1">
      <alignment horizontal="right" vertical="center"/>
    </xf>
    <xf numFmtId="41" fontId="0" fillId="0" borderId="12" xfId="0" applyNumberFormat="1" applyFont="1" applyFill="1" applyBorder="1" applyAlignment="1">
      <alignment horizontal="left" vertical="center"/>
    </xf>
    <xf numFmtId="0" fontId="0" fillId="0" borderId="20" xfId="0" applyNumberFormat="1" applyFont="1" applyFill="1" applyBorder="1" applyAlignment="1">
      <alignment horizontal="center" vertical="center"/>
    </xf>
    <xf numFmtId="214" fontId="0" fillId="0" borderId="12" xfId="48" applyNumberFormat="1" applyFont="1" applyFill="1" applyBorder="1" applyAlignment="1" quotePrefix="1">
      <alignment horizontal="righ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55" xfId="0" applyNumberFormat="1" applyFont="1" applyFill="1" applyBorder="1" applyAlignment="1">
      <alignment horizontal="right" vertical="center"/>
    </xf>
    <xf numFmtId="214" fontId="0" fillId="0" borderId="14" xfId="48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horizontal="left" vertical="center"/>
    </xf>
    <xf numFmtId="214" fontId="0" fillId="0" borderId="17" xfId="48" applyNumberFormat="1" applyFont="1" applyFill="1" applyBorder="1" applyAlignment="1">
      <alignment vertical="center"/>
    </xf>
    <xf numFmtId="41" fontId="0" fillId="0" borderId="56" xfId="0" applyNumberFormat="1" applyFont="1" applyFill="1" applyBorder="1" applyAlignment="1">
      <alignment horizontal="left" vertical="center"/>
    </xf>
    <xf numFmtId="41" fontId="0" fillId="0" borderId="50" xfId="0" applyNumberFormat="1" applyFont="1" applyFill="1" applyBorder="1" applyAlignment="1">
      <alignment horizontal="right" vertical="center"/>
    </xf>
    <xf numFmtId="214" fontId="0" fillId="0" borderId="56" xfId="48" applyNumberFormat="1" applyFont="1" applyFill="1" applyBorder="1" applyAlignment="1">
      <alignment vertical="center"/>
    </xf>
    <xf numFmtId="0" fontId="0" fillId="0" borderId="52" xfId="0" applyFont="1" applyFill="1" applyBorder="1" applyAlignment="1">
      <alignment horizontal="right" vertical="center"/>
    </xf>
    <xf numFmtId="214" fontId="0" fillId="0" borderId="17" xfId="0" applyNumberFormat="1" applyFont="1" applyFill="1" applyBorder="1" applyAlignment="1">
      <alignment vertical="center"/>
    </xf>
    <xf numFmtId="214" fontId="0" fillId="0" borderId="19" xfId="0" applyNumberFormat="1" applyFont="1" applyFill="1" applyBorder="1" applyAlignment="1">
      <alignment vertical="center"/>
    </xf>
    <xf numFmtId="214" fontId="0" fillId="0" borderId="19" xfId="48" applyNumberFormat="1" applyFont="1" applyFill="1" applyBorder="1" applyAlignment="1">
      <alignment vertical="center"/>
    </xf>
    <xf numFmtId="214" fontId="0" fillId="0" borderId="80" xfId="0" applyNumberFormat="1" applyFont="1" applyFill="1" applyBorder="1" applyAlignment="1">
      <alignment vertical="center"/>
    </xf>
    <xf numFmtId="41" fontId="0" fillId="0" borderId="20" xfId="0" applyNumberFormat="1" applyFont="1" applyFill="1" applyBorder="1" applyAlignment="1">
      <alignment horizontal="right" vertical="center"/>
    </xf>
    <xf numFmtId="203" fontId="0" fillId="0" borderId="0" xfId="0" applyNumberFormat="1" applyFont="1" applyFill="1" applyAlignment="1" quotePrefix="1">
      <alignment horizontal="right" vertical="center"/>
    </xf>
    <xf numFmtId="203" fontId="0" fillId="0" borderId="23" xfId="0" applyNumberFormat="1" applyFont="1" applyFill="1" applyBorder="1" applyAlignment="1">
      <alignment horizontal="center" vertical="center"/>
    </xf>
    <xf numFmtId="203" fontId="0" fillId="0" borderId="76" xfId="0" applyNumberFormat="1" applyFont="1" applyFill="1" applyBorder="1" applyAlignment="1">
      <alignment horizontal="center" vertical="center"/>
    </xf>
    <xf numFmtId="203" fontId="0" fillId="0" borderId="23" xfId="0" applyNumberFormat="1" applyFont="1" applyFill="1" applyBorder="1" applyAlignment="1">
      <alignment horizontal="center" vertical="center" shrinkToFit="1"/>
    </xf>
    <xf numFmtId="203" fontId="0" fillId="0" borderId="76" xfId="0" applyNumberFormat="1" applyFont="1" applyFill="1" applyBorder="1" applyAlignment="1">
      <alignment horizontal="center" vertical="center" shrinkToFit="1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46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horizontal="right" vertical="center"/>
    </xf>
    <xf numFmtId="41" fontId="0" fillId="0" borderId="18" xfId="0" applyNumberFormat="1" applyFont="1" applyFill="1" applyBorder="1" applyAlignment="1">
      <alignment horizontal="left" vertical="center"/>
    </xf>
    <xf numFmtId="41" fontId="0" fillId="0" borderId="45" xfId="0" applyNumberFormat="1" applyFont="1" applyFill="1" applyBorder="1" applyAlignment="1">
      <alignment horizontal="right" vertical="center"/>
    </xf>
    <xf numFmtId="214" fontId="0" fillId="0" borderId="59" xfId="48" applyNumberFormat="1" applyFont="1" applyFill="1" applyBorder="1" applyAlignment="1" quotePrefix="1">
      <alignment horizontal="right" vertical="center"/>
    </xf>
    <xf numFmtId="41" fontId="0" fillId="0" borderId="12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vertical="center"/>
    </xf>
    <xf numFmtId="41" fontId="0" fillId="0" borderId="13" xfId="0" applyNumberFormat="1" applyFont="1" applyFill="1" applyBorder="1" applyAlignment="1">
      <alignment horizontal="right" vertical="center"/>
    </xf>
    <xf numFmtId="214" fontId="0" fillId="0" borderId="36" xfId="48" applyNumberFormat="1" applyFont="1" applyFill="1" applyBorder="1" applyAlignment="1" quotePrefix="1">
      <alignment horizontal="right" vertical="center"/>
    </xf>
    <xf numFmtId="41" fontId="0" fillId="0" borderId="23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horizontal="right" vertical="center"/>
    </xf>
    <xf numFmtId="214" fontId="0" fillId="0" borderId="61" xfId="48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１０決算ベース" xfId="60"/>
    <cellStyle name="標準_地方債公営企業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F17" sqref="F17"/>
      <selection pane="topRight" activeCell="F17" sqref="F17"/>
      <selection pane="bottomLeft" activeCell="F17" sqref="F17"/>
      <selection pane="bottomRight" activeCell="F5" sqref="F5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9" width="10.59765625" style="1" customWidth="1"/>
    <col min="10" max="12" width="9" style="1" customWidth="1"/>
    <col min="13" max="13" width="9.8984375" style="1" customWidth="1"/>
    <col min="14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85" t="s">
        <v>0</v>
      </c>
      <c r="B1" s="385"/>
      <c r="C1" s="385"/>
      <c r="D1" s="385"/>
      <c r="E1" s="42" t="s">
        <v>301</v>
      </c>
      <c r="F1" s="2"/>
      <c r="AA1" s="384" t="s">
        <v>105</v>
      </c>
      <c r="AB1" s="384"/>
    </row>
    <row r="2" spans="27:37" ht="13.5">
      <c r="AA2" s="376" t="s">
        <v>106</v>
      </c>
      <c r="AB2" s="376"/>
      <c r="AC2" s="381" t="s">
        <v>107</v>
      </c>
      <c r="AD2" s="377" t="s">
        <v>108</v>
      </c>
      <c r="AE2" s="378"/>
      <c r="AF2" s="379"/>
      <c r="AG2" s="376" t="s">
        <v>109</v>
      </c>
      <c r="AH2" s="376" t="s">
        <v>110</v>
      </c>
      <c r="AI2" s="376" t="s">
        <v>111</v>
      </c>
      <c r="AJ2" s="376" t="s">
        <v>112</v>
      </c>
      <c r="AK2" s="376" t="s">
        <v>113</v>
      </c>
    </row>
    <row r="3" spans="1:37" ht="14.25">
      <c r="A3" s="22" t="s">
        <v>104</v>
      </c>
      <c r="AA3" s="376"/>
      <c r="AB3" s="376"/>
      <c r="AC3" s="383"/>
      <c r="AD3" s="139"/>
      <c r="AE3" s="138" t="s">
        <v>126</v>
      </c>
      <c r="AF3" s="138" t="s">
        <v>127</v>
      </c>
      <c r="AG3" s="376"/>
      <c r="AH3" s="376"/>
      <c r="AI3" s="376"/>
      <c r="AJ3" s="376"/>
      <c r="AK3" s="376"/>
    </row>
    <row r="4" spans="27:38" ht="13.5">
      <c r="AA4" s="381" t="str">
        <f>E1</f>
        <v>千葉市</v>
      </c>
      <c r="AB4" s="140" t="s">
        <v>114</v>
      </c>
      <c r="AC4" s="141">
        <f>F22</f>
        <v>443997</v>
      </c>
      <c r="AD4" s="141">
        <f>F9</f>
        <v>176500</v>
      </c>
      <c r="AE4" s="141">
        <f>F10</f>
        <v>82492</v>
      </c>
      <c r="AF4" s="141">
        <f>F13</f>
        <v>68070</v>
      </c>
      <c r="AG4" s="141">
        <f>F14</f>
        <v>2635</v>
      </c>
      <c r="AH4" s="141">
        <f>F15</f>
        <v>11546</v>
      </c>
      <c r="AI4" s="141">
        <f>F17</f>
        <v>72158</v>
      </c>
      <c r="AJ4" s="141">
        <f>F20</f>
        <v>46736</v>
      </c>
      <c r="AK4" s="141">
        <f>F21</f>
        <v>101710</v>
      </c>
      <c r="AL4" s="142"/>
    </row>
    <row r="5" spans="1:37" ht="13.5">
      <c r="A5" s="21" t="s">
        <v>275</v>
      </c>
      <c r="AA5" s="382"/>
      <c r="AB5" s="140" t="s">
        <v>115</v>
      </c>
      <c r="AC5" s="143"/>
      <c r="AD5" s="143">
        <f>G9</f>
        <v>39.75252085036611</v>
      </c>
      <c r="AE5" s="143">
        <f>G10</f>
        <v>18.579404815798306</v>
      </c>
      <c r="AF5" s="143">
        <f>G13</f>
        <v>15.331184670166689</v>
      </c>
      <c r="AG5" s="143">
        <f>G14</f>
        <v>0.593472478417647</v>
      </c>
      <c r="AH5" s="143">
        <f>G15</f>
        <v>2.6004680211803235</v>
      </c>
      <c r="AI5" s="143">
        <f>G17</f>
        <v>16.251911612015395</v>
      </c>
      <c r="AJ5" s="143">
        <f>G20</f>
        <v>10.52619724908051</v>
      </c>
      <c r="AK5" s="143">
        <f>G21</f>
        <v>22.907812440174144</v>
      </c>
    </row>
    <row r="6" spans="1:37" ht="14.25">
      <c r="A6" s="3"/>
      <c r="G6" s="389" t="s">
        <v>128</v>
      </c>
      <c r="H6" s="390"/>
      <c r="I6" s="390"/>
      <c r="AA6" s="383"/>
      <c r="AB6" s="140" t="s">
        <v>116</v>
      </c>
      <c r="AC6" s="143">
        <f>I22</f>
        <v>10.23805622178855</v>
      </c>
      <c r="AD6" s="143">
        <f>I9</f>
        <v>0.6271379703534752</v>
      </c>
      <c r="AE6" s="143">
        <f>I10</f>
        <v>0.8508973543938536</v>
      </c>
      <c r="AF6" s="143">
        <f>I13</f>
        <v>0.3567848086335923</v>
      </c>
      <c r="AG6" s="143">
        <f>I14</f>
        <v>1.229350749135616</v>
      </c>
      <c r="AH6" s="143">
        <f>I15</f>
        <v>22.82978723404254</v>
      </c>
      <c r="AI6" s="143">
        <f>I17</f>
        <v>18.79815607507409</v>
      </c>
      <c r="AJ6" s="143">
        <f>I20</f>
        <v>13.18415189382931</v>
      </c>
      <c r="AK6" s="143">
        <f>I21</f>
        <v>21.291261209692802</v>
      </c>
    </row>
    <row r="7" spans="1:9" ht="27" customHeight="1">
      <c r="A7" s="19"/>
      <c r="B7" s="5"/>
      <c r="C7" s="5"/>
      <c r="D7" s="5"/>
      <c r="E7" s="23"/>
      <c r="F7" s="62" t="s">
        <v>276</v>
      </c>
      <c r="G7" s="63"/>
      <c r="H7" s="64" t="s">
        <v>1</v>
      </c>
      <c r="I7" s="17" t="s">
        <v>21</v>
      </c>
    </row>
    <row r="8" spans="1:9" ht="16.5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29" ht="18" customHeight="1">
      <c r="A9" s="386" t="s">
        <v>80</v>
      </c>
      <c r="B9" s="386" t="s">
        <v>81</v>
      </c>
      <c r="C9" s="47" t="s">
        <v>3</v>
      </c>
      <c r="D9" s="48"/>
      <c r="E9" s="49"/>
      <c r="F9" s="74">
        <v>176500</v>
      </c>
      <c r="G9" s="75">
        <f aca="true" t="shared" si="0" ref="G9:G22">F9/$F$22*100</f>
        <v>39.75252085036611</v>
      </c>
      <c r="H9" s="74">
        <v>175400</v>
      </c>
      <c r="I9" s="76">
        <f aca="true" t="shared" si="1" ref="I9:I21">(F9/H9-1)*100</f>
        <v>0.6271379703534752</v>
      </c>
      <c r="AA9" s="392" t="s">
        <v>105</v>
      </c>
      <c r="AB9" s="393"/>
      <c r="AC9" s="394" t="s">
        <v>117</v>
      </c>
    </row>
    <row r="10" spans="1:37" ht="18" customHeight="1">
      <c r="A10" s="387"/>
      <c r="B10" s="387"/>
      <c r="C10" s="8"/>
      <c r="D10" s="50" t="s">
        <v>22</v>
      </c>
      <c r="E10" s="30"/>
      <c r="F10" s="77">
        <v>82492</v>
      </c>
      <c r="G10" s="78">
        <f t="shared" si="0"/>
        <v>18.579404815798306</v>
      </c>
      <c r="H10" s="77">
        <v>81796</v>
      </c>
      <c r="I10" s="79">
        <f t="shared" si="1"/>
        <v>0.8508973543938536</v>
      </c>
      <c r="AA10" s="376" t="s">
        <v>106</v>
      </c>
      <c r="AB10" s="376"/>
      <c r="AC10" s="394"/>
      <c r="AD10" s="377" t="s">
        <v>118</v>
      </c>
      <c r="AE10" s="378"/>
      <c r="AF10" s="379"/>
      <c r="AG10" s="377" t="s">
        <v>119</v>
      </c>
      <c r="AH10" s="391"/>
      <c r="AI10" s="380"/>
      <c r="AJ10" s="377" t="s">
        <v>120</v>
      </c>
      <c r="AK10" s="380"/>
    </row>
    <row r="11" spans="1:37" ht="18" customHeight="1">
      <c r="A11" s="387"/>
      <c r="B11" s="387"/>
      <c r="C11" s="34"/>
      <c r="D11" s="35"/>
      <c r="E11" s="33" t="s">
        <v>23</v>
      </c>
      <c r="F11" s="80">
        <v>63103</v>
      </c>
      <c r="G11" s="81">
        <f t="shared" si="0"/>
        <v>14.21248341768075</v>
      </c>
      <c r="H11" s="80">
        <v>64384</v>
      </c>
      <c r="I11" s="82">
        <f t="shared" si="1"/>
        <v>-1.9896247514910592</v>
      </c>
      <c r="AA11" s="376"/>
      <c r="AB11" s="376"/>
      <c r="AC11" s="392"/>
      <c r="AD11" s="139"/>
      <c r="AE11" s="138" t="s">
        <v>121</v>
      </c>
      <c r="AF11" s="138" t="s">
        <v>122</v>
      </c>
      <c r="AG11" s="139"/>
      <c r="AH11" s="138" t="s">
        <v>123</v>
      </c>
      <c r="AI11" s="138" t="s">
        <v>124</v>
      </c>
      <c r="AJ11" s="139"/>
      <c r="AK11" s="144" t="s">
        <v>125</v>
      </c>
    </row>
    <row r="12" spans="1:38" ht="18" customHeight="1">
      <c r="A12" s="387"/>
      <c r="B12" s="387"/>
      <c r="C12" s="34"/>
      <c r="D12" s="36"/>
      <c r="E12" s="33" t="s">
        <v>24</v>
      </c>
      <c r="F12" s="80">
        <v>13261</v>
      </c>
      <c r="G12" s="81">
        <f>F12/$F$22*100</f>
        <v>2.986731892332606</v>
      </c>
      <c r="H12" s="80">
        <v>17900</v>
      </c>
      <c r="I12" s="82">
        <f t="shared" si="1"/>
        <v>-25.916201117318437</v>
      </c>
      <c r="AA12" s="381" t="str">
        <f>E1</f>
        <v>千葉市</v>
      </c>
      <c r="AB12" s="140" t="s">
        <v>114</v>
      </c>
      <c r="AC12" s="141">
        <f>F40</f>
        <v>443997</v>
      </c>
      <c r="AD12" s="141">
        <f>F23</f>
        <v>254493</v>
      </c>
      <c r="AE12" s="141">
        <f>F24</f>
        <v>98237</v>
      </c>
      <c r="AF12" s="141">
        <f>F26</f>
        <v>55510</v>
      </c>
      <c r="AG12" s="141">
        <f>F27</f>
        <v>154667</v>
      </c>
      <c r="AH12" s="141">
        <f>F28</f>
        <v>50440</v>
      </c>
      <c r="AI12" s="141">
        <f>F32</f>
        <v>2993</v>
      </c>
      <c r="AJ12" s="141">
        <f>F34</f>
        <v>34837</v>
      </c>
      <c r="AK12" s="141">
        <f>F35</f>
        <v>34837</v>
      </c>
      <c r="AL12" s="145"/>
    </row>
    <row r="13" spans="1:37" ht="18" customHeight="1">
      <c r="A13" s="387"/>
      <c r="B13" s="387"/>
      <c r="C13" s="11"/>
      <c r="D13" s="31" t="s">
        <v>25</v>
      </c>
      <c r="E13" s="32"/>
      <c r="F13" s="83">
        <v>68070</v>
      </c>
      <c r="G13" s="84">
        <f t="shared" si="0"/>
        <v>15.331184670166689</v>
      </c>
      <c r="H13" s="83">
        <v>67828</v>
      </c>
      <c r="I13" s="85">
        <f t="shared" si="1"/>
        <v>0.3567848086335923</v>
      </c>
      <c r="AA13" s="382"/>
      <c r="AB13" s="140" t="s">
        <v>115</v>
      </c>
      <c r="AC13" s="143"/>
      <c r="AD13" s="143">
        <f>G23</f>
        <v>57.318630531287376</v>
      </c>
      <c r="AE13" s="143">
        <f>G24</f>
        <v>22.125599947747396</v>
      </c>
      <c r="AF13" s="143">
        <f>G26</f>
        <v>12.50233672750041</v>
      </c>
      <c r="AG13" s="143">
        <f>G27</f>
        <v>34.83514528251317</v>
      </c>
      <c r="AH13" s="143">
        <f>G28</f>
        <v>11.36043712007063</v>
      </c>
      <c r="AI13" s="143">
        <f>G32</f>
        <v>0.674103653853517</v>
      </c>
      <c r="AJ13" s="143">
        <f>G34</f>
        <v>7.846224186199456</v>
      </c>
      <c r="AK13" s="143">
        <f>G35</f>
        <v>7.846224186199456</v>
      </c>
    </row>
    <row r="14" spans="1:37" ht="18" customHeight="1">
      <c r="A14" s="387"/>
      <c r="B14" s="387"/>
      <c r="C14" s="52" t="s">
        <v>4</v>
      </c>
      <c r="D14" s="53"/>
      <c r="E14" s="54"/>
      <c r="F14" s="80">
        <v>2635</v>
      </c>
      <c r="G14" s="81">
        <f t="shared" si="0"/>
        <v>0.593472478417647</v>
      </c>
      <c r="H14" s="80">
        <v>2603</v>
      </c>
      <c r="I14" s="82">
        <f t="shared" si="1"/>
        <v>1.229350749135616</v>
      </c>
      <c r="AA14" s="383"/>
      <c r="AB14" s="140" t="s">
        <v>116</v>
      </c>
      <c r="AC14" s="143">
        <f>I40</f>
        <v>10.23805622178855</v>
      </c>
      <c r="AD14" s="143">
        <f>I23</f>
        <v>21.16348712870344</v>
      </c>
      <c r="AE14" s="143">
        <f>I24</f>
        <v>73.89234064397358</v>
      </c>
      <c r="AF14" s="143">
        <f>I26</f>
        <v>-2.985074626865669</v>
      </c>
      <c r="AG14" s="143">
        <f>I27</f>
        <v>0.32757748342653326</v>
      </c>
      <c r="AH14" s="143">
        <f>I28</f>
        <v>-3.7073803978465936</v>
      </c>
      <c r="AI14" s="143">
        <f>I32</f>
        <v>40.31879981247071</v>
      </c>
      <c r="AJ14" s="143">
        <f>I34</f>
        <v>-9.652739956949086</v>
      </c>
      <c r="AK14" s="143">
        <f>I35</f>
        <v>-9.652739956949086</v>
      </c>
    </row>
    <row r="15" spans="1:9" ht="18" customHeight="1">
      <c r="A15" s="387"/>
      <c r="B15" s="387"/>
      <c r="C15" s="52" t="s">
        <v>5</v>
      </c>
      <c r="D15" s="53"/>
      <c r="E15" s="54"/>
      <c r="F15" s="80">
        <v>11546</v>
      </c>
      <c r="G15" s="81">
        <f t="shared" si="0"/>
        <v>2.6004680211803235</v>
      </c>
      <c r="H15" s="80">
        <v>9400</v>
      </c>
      <c r="I15" s="82">
        <f t="shared" si="1"/>
        <v>22.82978723404254</v>
      </c>
    </row>
    <row r="16" spans="1:9" ht="18" customHeight="1">
      <c r="A16" s="387"/>
      <c r="B16" s="387"/>
      <c r="C16" s="52" t="s">
        <v>26</v>
      </c>
      <c r="D16" s="53"/>
      <c r="E16" s="54"/>
      <c r="F16" s="80">
        <v>11534</v>
      </c>
      <c r="G16" s="81">
        <f t="shared" si="0"/>
        <v>2.5977653002159924</v>
      </c>
      <c r="H16" s="80">
        <v>11687</v>
      </c>
      <c r="I16" s="82">
        <f t="shared" si="1"/>
        <v>-1.3091469153760582</v>
      </c>
    </row>
    <row r="17" spans="1:9" ht="18" customHeight="1">
      <c r="A17" s="387"/>
      <c r="B17" s="387"/>
      <c r="C17" s="52" t="s">
        <v>6</v>
      </c>
      <c r="D17" s="53"/>
      <c r="E17" s="54"/>
      <c r="F17" s="80">
        <v>72158</v>
      </c>
      <c r="G17" s="81">
        <f t="shared" si="0"/>
        <v>16.251911612015395</v>
      </c>
      <c r="H17" s="80">
        <v>60740</v>
      </c>
      <c r="I17" s="82">
        <f t="shared" si="1"/>
        <v>18.79815607507409</v>
      </c>
    </row>
    <row r="18" spans="1:9" ht="18" customHeight="1">
      <c r="A18" s="387"/>
      <c r="B18" s="387"/>
      <c r="C18" s="52" t="s">
        <v>27</v>
      </c>
      <c r="D18" s="53"/>
      <c r="E18" s="54"/>
      <c r="F18" s="80">
        <v>16771</v>
      </c>
      <c r="G18" s="81">
        <f t="shared" si="0"/>
        <v>3.7772777743993764</v>
      </c>
      <c r="H18" s="80">
        <v>15237</v>
      </c>
      <c r="I18" s="82">
        <f t="shared" si="1"/>
        <v>10.067598608649986</v>
      </c>
    </row>
    <row r="19" spans="1:9" ht="18" customHeight="1">
      <c r="A19" s="387"/>
      <c r="B19" s="387"/>
      <c r="C19" s="52" t="s">
        <v>28</v>
      </c>
      <c r="D19" s="53"/>
      <c r="E19" s="54"/>
      <c r="F19" s="80">
        <v>4407</v>
      </c>
      <c r="G19" s="81">
        <f t="shared" si="0"/>
        <v>0.9925742741505009</v>
      </c>
      <c r="H19" s="80">
        <v>2547</v>
      </c>
      <c r="I19" s="82">
        <f t="shared" si="1"/>
        <v>73.02709069493523</v>
      </c>
    </row>
    <row r="20" spans="1:9" ht="18" customHeight="1">
      <c r="A20" s="387"/>
      <c r="B20" s="387"/>
      <c r="C20" s="52" t="s">
        <v>7</v>
      </c>
      <c r="D20" s="53"/>
      <c r="E20" s="54"/>
      <c r="F20" s="80">
        <v>46736</v>
      </c>
      <c r="G20" s="81">
        <f t="shared" si="0"/>
        <v>10.52619724908051</v>
      </c>
      <c r="H20" s="80">
        <v>41292</v>
      </c>
      <c r="I20" s="82">
        <f t="shared" si="1"/>
        <v>13.18415189382931</v>
      </c>
    </row>
    <row r="21" spans="1:9" ht="18" customHeight="1">
      <c r="A21" s="387"/>
      <c r="B21" s="387"/>
      <c r="C21" s="57" t="s">
        <v>8</v>
      </c>
      <c r="D21" s="58"/>
      <c r="E21" s="56"/>
      <c r="F21" s="86">
        <v>101710</v>
      </c>
      <c r="G21" s="87">
        <f t="shared" si="0"/>
        <v>22.907812440174144</v>
      </c>
      <c r="H21" s="86">
        <v>83856</v>
      </c>
      <c r="I21" s="88">
        <f t="shared" si="1"/>
        <v>21.291261209692802</v>
      </c>
    </row>
    <row r="22" spans="1:9" ht="18" customHeight="1">
      <c r="A22" s="387"/>
      <c r="B22" s="388"/>
      <c r="C22" s="59" t="s">
        <v>9</v>
      </c>
      <c r="D22" s="37"/>
      <c r="E22" s="60"/>
      <c r="F22" s="89">
        <f>SUM(F9,F14:F21)</f>
        <v>443997</v>
      </c>
      <c r="G22" s="90">
        <f t="shared" si="0"/>
        <v>100</v>
      </c>
      <c r="H22" s="89">
        <f>SUM(H9,H14:H21)</f>
        <v>402762</v>
      </c>
      <c r="I22" s="234">
        <f aca="true" t="shared" si="2" ref="I22:I40">(F22/H22-1)*100</f>
        <v>10.23805622178855</v>
      </c>
    </row>
    <row r="23" spans="1:9" ht="18" customHeight="1">
      <c r="A23" s="387"/>
      <c r="B23" s="386" t="s">
        <v>82</v>
      </c>
      <c r="C23" s="4" t="s">
        <v>10</v>
      </c>
      <c r="D23" s="5"/>
      <c r="E23" s="23"/>
      <c r="F23" s="74">
        <f>SUM(F24:F26)</f>
        <v>254493</v>
      </c>
      <c r="G23" s="75">
        <f aca="true" t="shared" si="3" ref="G23:G37">F23/$F$40*100</f>
        <v>57.318630531287376</v>
      </c>
      <c r="H23" s="74">
        <f>SUM(H24:H26)</f>
        <v>210041</v>
      </c>
      <c r="I23" s="91">
        <f t="shared" si="2"/>
        <v>21.16348712870344</v>
      </c>
    </row>
    <row r="24" spans="1:9" ht="18" customHeight="1">
      <c r="A24" s="387"/>
      <c r="B24" s="387"/>
      <c r="C24" s="8"/>
      <c r="D24" s="10" t="s">
        <v>11</v>
      </c>
      <c r="E24" s="38"/>
      <c r="F24" s="80">
        <v>98237</v>
      </c>
      <c r="G24" s="81">
        <f t="shared" si="3"/>
        <v>22.125599947747396</v>
      </c>
      <c r="H24" s="80">
        <v>56493</v>
      </c>
      <c r="I24" s="82">
        <f t="shared" si="2"/>
        <v>73.89234064397358</v>
      </c>
    </row>
    <row r="25" spans="1:9" ht="18" customHeight="1">
      <c r="A25" s="387"/>
      <c r="B25" s="387"/>
      <c r="C25" s="8"/>
      <c r="D25" s="10" t="s">
        <v>29</v>
      </c>
      <c r="E25" s="38"/>
      <c r="F25" s="80">
        <v>100746</v>
      </c>
      <c r="G25" s="81">
        <f t="shared" si="3"/>
        <v>22.690693856039566</v>
      </c>
      <c r="H25" s="80">
        <v>96330</v>
      </c>
      <c r="I25" s="82">
        <f t="shared" si="2"/>
        <v>4.5842416692619015</v>
      </c>
    </row>
    <row r="26" spans="1:9" ht="18" customHeight="1">
      <c r="A26" s="387"/>
      <c r="B26" s="387"/>
      <c r="C26" s="11"/>
      <c r="D26" s="10" t="s">
        <v>12</v>
      </c>
      <c r="E26" s="38"/>
      <c r="F26" s="80">
        <v>55510</v>
      </c>
      <c r="G26" s="81">
        <f t="shared" si="3"/>
        <v>12.50233672750041</v>
      </c>
      <c r="H26" s="80">
        <v>57218</v>
      </c>
      <c r="I26" s="82">
        <f t="shared" si="2"/>
        <v>-2.985074626865669</v>
      </c>
    </row>
    <row r="27" spans="1:9" ht="18" customHeight="1">
      <c r="A27" s="387"/>
      <c r="B27" s="387"/>
      <c r="C27" s="8" t="s">
        <v>13</v>
      </c>
      <c r="D27" s="14"/>
      <c r="E27" s="25"/>
      <c r="F27" s="74">
        <f>SUM(F28:F33)+303</f>
        <v>154667</v>
      </c>
      <c r="G27" s="75">
        <f t="shared" si="3"/>
        <v>34.83514528251317</v>
      </c>
      <c r="H27" s="74">
        <f>SUM(H28:H33)+303</f>
        <v>154162</v>
      </c>
      <c r="I27" s="91">
        <f t="shared" si="2"/>
        <v>0.32757748342653326</v>
      </c>
    </row>
    <row r="28" spans="1:9" ht="18" customHeight="1">
      <c r="A28" s="387"/>
      <c r="B28" s="387"/>
      <c r="C28" s="8"/>
      <c r="D28" s="10" t="s">
        <v>14</v>
      </c>
      <c r="E28" s="38"/>
      <c r="F28" s="80">
        <v>50440</v>
      </c>
      <c r="G28" s="81">
        <f t="shared" si="3"/>
        <v>11.36043712007063</v>
      </c>
      <c r="H28" s="80">
        <v>52382</v>
      </c>
      <c r="I28" s="82">
        <f t="shared" si="2"/>
        <v>-3.7073803978465936</v>
      </c>
    </row>
    <row r="29" spans="1:9" ht="18" customHeight="1">
      <c r="A29" s="387"/>
      <c r="B29" s="387"/>
      <c r="C29" s="8"/>
      <c r="D29" s="10" t="s">
        <v>30</v>
      </c>
      <c r="E29" s="38"/>
      <c r="F29" s="80">
        <v>7461</v>
      </c>
      <c r="G29" s="81">
        <f t="shared" si="3"/>
        <v>1.6804167595726998</v>
      </c>
      <c r="H29" s="80">
        <v>7176</v>
      </c>
      <c r="I29" s="82">
        <f t="shared" si="2"/>
        <v>3.9715719063545096</v>
      </c>
    </row>
    <row r="30" spans="1:9" ht="18" customHeight="1">
      <c r="A30" s="387"/>
      <c r="B30" s="387"/>
      <c r="C30" s="8"/>
      <c r="D30" s="10" t="s">
        <v>31</v>
      </c>
      <c r="E30" s="38"/>
      <c r="F30" s="80">
        <v>27174</v>
      </c>
      <c r="G30" s="81">
        <f t="shared" si="3"/>
        <v>6.120311623727187</v>
      </c>
      <c r="H30" s="80">
        <v>27759</v>
      </c>
      <c r="I30" s="82">
        <f t="shared" si="2"/>
        <v>-2.107424619042475</v>
      </c>
    </row>
    <row r="31" spans="1:9" ht="18" customHeight="1">
      <c r="A31" s="387"/>
      <c r="B31" s="387"/>
      <c r="C31" s="8"/>
      <c r="D31" s="10" t="s">
        <v>32</v>
      </c>
      <c r="E31" s="38"/>
      <c r="F31" s="80">
        <v>29340</v>
      </c>
      <c r="G31" s="81">
        <f t="shared" si="3"/>
        <v>6.608152757788904</v>
      </c>
      <c r="H31" s="80">
        <v>28106</v>
      </c>
      <c r="I31" s="82">
        <f t="shared" si="2"/>
        <v>4.390521596812058</v>
      </c>
    </row>
    <row r="32" spans="1:9" ht="18" customHeight="1">
      <c r="A32" s="387"/>
      <c r="B32" s="387"/>
      <c r="C32" s="8"/>
      <c r="D32" s="10" t="s">
        <v>15</v>
      </c>
      <c r="E32" s="38"/>
      <c r="F32" s="80">
        <v>2993</v>
      </c>
      <c r="G32" s="81">
        <f t="shared" si="3"/>
        <v>0.674103653853517</v>
      </c>
      <c r="H32" s="80">
        <v>2133</v>
      </c>
      <c r="I32" s="82">
        <f t="shared" si="2"/>
        <v>40.31879981247071</v>
      </c>
    </row>
    <row r="33" spans="1:9" ht="18" customHeight="1">
      <c r="A33" s="387"/>
      <c r="B33" s="387"/>
      <c r="C33" s="11"/>
      <c r="D33" s="10" t="s">
        <v>33</v>
      </c>
      <c r="E33" s="38"/>
      <c r="F33" s="80">
        <v>36956</v>
      </c>
      <c r="G33" s="81">
        <f t="shared" si="3"/>
        <v>8.323479663150877</v>
      </c>
      <c r="H33" s="80">
        <v>36303</v>
      </c>
      <c r="I33" s="82">
        <f t="shared" si="2"/>
        <v>1.7987494146489258</v>
      </c>
    </row>
    <row r="34" spans="1:9" ht="18" customHeight="1">
      <c r="A34" s="387"/>
      <c r="B34" s="387"/>
      <c r="C34" s="8" t="s">
        <v>16</v>
      </c>
      <c r="D34" s="14"/>
      <c r="E34" s="25"/>
      <c r="F34" s="74">
        <f>SUM(F35,F38,F39)</f>
        <v>34837</v>
      </c>
      <c r="G34" s="75">
        <f t="shared" si="3"/>
        <v>7.846224186199456</v>
      </c>
      <c r="H34" s="74">
        <f>SUM(H35,H38,H39)</f>
        <v>38559</v>
      </c>
      <c r="I34" s="91">
        <f t="shared" si="2"/>
        <v>-9.652739956949086</v>
      </c>
    </row>
    <row r="35" spans="1:9" ht="18" customHeight="1">
      <c r="A35" s="387"/>
      <c r="B35" s="387"/>
      <c r="C35" s="8"/>
      <c r="D35" s="39" t="s">
        <v>17</v>
      </c>
      <c r="E35" s="40"/>
      <c r="F35" s="77">
        <v>34837</v>
      </c>
      <c r="G35" s="78">
        <f t="shared" si="3"/>
        <v>7.846224186199456</v>
      </c>
      <c r="H35" s="77">
        <v>38559</v>
      </c>
      <c r="I35" s="79">
        <f t="shared" si="2"/>
        <v>-9.652739956949086</v>
      </c>
    </row>
    <row r="36" spans="1:9" ht="18" customHeight="1">
      <c r="A36" s="387"/>
      <c r="B36" s="387"/>
      <c r="C36" s="8"/>
      <c r="D36" s="41"/>
      <c r="E36" s="134" t="s">
        <v>103</v>
      </c>
      <c r="F36" s="80">
        <v>15854</v>
      </c>
      <c r="G36" s="81">
        <f t="shared" si="3"/>
        <v>3.570744847375095</v>
      </c>
      <c r="H36" s="80">
        <v>16182</v>
      </c>
      <c r="I36" s="82">
        <f>(F36/H36-1)*100</f>
        <v>-2.0269435174885664</v>
      </c>
    </row>
    <row r="37" spans="1:9" ht="18" customHeight="1">
      <c r="A37" s="387"/>
      <c r="B37" s="387"/>
      <c r="C37" s="8"/>
      <c r="D37" s="12"/>
      <c r="E37" s="33" t="s">
        <v>34</v>
      </c>
      <c r="F37" s="80">
        <v>18983</v>
      </c>
      <c r="G37" s="81">
        <f t="shared" si="3"/>
        <v>4.275479338824361</v>
      </c>
      <c r="H37" s="80">
        <v>22377</v>
      </c>
      <c r="I37" s="82">
        <f t="shared" si="2"/>
        <v>-15.167359342181708</v>
      </c>
    </row>
    <row r="38" spans="1:9" ht="18" customHeight="1">
      <c r="A38" s="387"/>
      <c r="B38" s="387"/>
      <c r="C38" s="8"/>
      <c r="D38" s="61" t="s">
        <v>35</v>
      </c>
      <c r="E38" s="54"/>
      <c r="F38" s="80">
        <v>0</v>
      </c>
      <c r="G38" s="78">
        <f>F38/$F$40*100</f>
        <v>0</v>
      </c>
      <c r="H38" s="80">
        <v>0</v>
      </c>
      <c r="I38" s="358" t="s">
        <v>305</v>
      </c>
    </row>
    <row r="39" spans="1:9" ht="18" customHeight="1">
      <c r="A39" s="387"/>
      <c r="B39" s="387"/>
      <c r="C39" s="6"/>
      <c r="D39" s="55" t="s">
        <v>36</v>
      </c>
      <c r="E39" s="56"/>
      <c r="F39" s="86">
        <v>0</v>
      </c>
      <c r="G39" s="87">
        <f>F39/$F$40*100</f>
        <v>0</v>
      </c>
      <c r="H39" s="86">
        <v>0</v>
      </c>
      <c r="I39" s="359" t="s">
        <v>306</v>
      </c>
    </row>
    <row r="40" spans="1:9" ht="18" customHeight="1">
      <c r="A40" s="388"/>
      <c r="B40" s="388"/>
      <c r="C40" s="6" t="s">
        <v>18</v>
      </c>
      <c r="D40" s="7"/>
      <c r="E40" s="24"/>
      <c r="F40" s="89">
        <f>SUM(F23,F27,F34)</f>
        <v>443997</v>
      </c>
      <c r="G40" s="235">
        <f>F40/$F$40*100</f>
        <v>100</v>
      </c>
      <c r="H40" s="89">
        <f>SUM(H23,H27,H34)</f>
        <v>402762</v>
      </c>
      <c r="I40" s="234">
        <f t="shared" si="2"/>
        <v>10.23805622178855</v>
      </c>
    </row>
    <row r="41" spans="1:2" ht="18" customHeight="1">
      <c r="A41" s="132" t="s">
        <v>19</v>
      </c>
      <c r="B41" s="132"/>
    </row>
    <row r="42" spans="1:2" ht="18" customHeight="1">
      <c r="A42" s="133" t="s">
        <v>20</v>
      </c>
      <c r="B42" s="132"/>
    </row>
    <row r="52" ht="13.5">
      <c r="J52" s="14"/>
    </row>
    <row r="53" ht="13.5">
      <c r="J53" s="14"/>
    </row>
  </sheetData>
  <sheetProtection/>
  <mergeCells count="24">
    <mergeCell ref="A1:D1"/>
    <mergeCell ref="A9:A40"/>
    <mergeCell ref="B9:B22"/>
    <mergeCell ref="B23:B40"/>
    <mergeCell ref="G6:I6"/>
    <mergeCell ref="AG10:AI10"/>
    <mergeCell ref="AA4:AA6"/>
    <mergeCell ref="AA9:AB9"/>
    <mergeCell ref="AC9:AC11"/>
    <mergeCell ref="AA10:AA11"/>
    <mergeCell ref="AA1:AB1"/>
    <mergeCell ref="AA2:AA3"/>
    <mergeCell ref="AB2:AB3"/>
    <mergeCell ref="AC2:AC3"/>
    <mergeCell ref="AD2:AF2"/>
    <mergeCell ref="AJ2:AJ3"/>
    <mergeCell ref="AB10:AB11"/>
    <mergeCell ref="AD10:AF10"/>
    <mergeCell ref="AG2:AG3"/>
    <mergeCell ref="AH2:AH3"/>
    <mergeCell ref="AJ10:AK10"/>
    <mergeCell ref="AA12:AA14"/>
    <mergeCell ref="AI2:AI3"/>
    <mergeCell ref="AK2:AK3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scale="97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H1" sqref="H1"/>
    </sheetView>
  </sheetViews>
  <sheetFormatPr defaultColWidth="8.796875" defaultRowHeight="14.25"/>
  <cols>
    <col min="1" max="1" width="3.59765625" style="488" customWidth="1"/>
    <col min="2" max="3" width="1.59765625" style="488" customWidth="1"/>
    <col min="4" max="4" width="22.59765625" style="488" customWidth="1"/>
    <col min="5" max="5" width="10.59765625" style="488" customWidth="1"/>
    <col min="6" max="11" width="13.59765625" style="488" customWidth="1"/>
    <col min="12" max="12" width="13.59765625" style="508" customWidth="1"/>
    <col min="13" max="21" width="13.59765625" style="488" customWidth="1"/>
    <col min="22" max="25" width="12" style="488" customWidth="1"/>
    <col min="26" max="16384" width="9" style="488" customWidth="1"/>
  </cols>
  <sheetData>
    <row r="1" spans="1:7" ht="33.75" customHeight="1">
      <c r="A1" s="447" t="s">
        <v>0</v>
      </c>
      <c r="B1" s="448"/>
      <c r="C1" s="448"/>
      <c r="D1" s="449" t="s">
        <v>301</v>
      </c>
      <c r="E1" s="450"/>
      <c r="F1" s="450"/>
      <c r="G1" s="450"/>
    </row>
    <row r="2" ht="15" customHeight="1"/>
    <row r="3" spans="1:4" ht="15" customHeight="1">
      <c r="A3" s="451" t="s">
        <v>43</v>
      </c>
      <c r="B3" s="451"/>
      <c r="C3" s="451"/>
      <c r="D3" s="451"/>
    </row>
    <row r="4" spans="1:4" ht="15" customHeight="1">
      <c r="A4" s="451"/>
      <c r="B4" s="451"/>
      <c r="C4" s="451"/>
      <c r="D4" s="451"/>
    </row>
    <row r="5" spans="1:15" ht="15.75" customHeight="1">
      <c r="A5" s="509" t="s">
        <v>277</v>
      </c>
      <c r="B5" s="509"/>
      <c r="C5" s="509"/>
      <c r="D5" s="509"/>
      <c r="K5" s="510"/>
      <c r="O5" s="510" t="s">
        <v>44</v>
      </c>
    </row>
    <row r="6" spans="1:15" ht="15.75" customHeight="1">
      <c r="A6" s="452" t="s">
        <v>45</v>
      </c>
      <c r="B6" s="453"/>
      <c r="C6" s="453"/>
      <c r="D6" s="453"/>
      <c r="E6" s="454"/>
      <c r="F6" s="455" t="s">
        <v>289</v>
      </c>
      <c r="G6" s="456"/>
      <c r="H6" s="455" t="s">
        <v>290</v>
      </c>
      <c r="I6" s="456"/>
      <c r="J6" s="455" t="s">
        <v>291</v>
      </c>
      <c r="K6" s="456"/>
      <c r="L6" s="455"/>
      <c r="M6" s="456"/>
      <c r="N6" s="455"/>
      <c r="O6" s="456"/>
    </row>
    <row r="7" spans="1:15" ht="15.75" customHeight="1">
      <c r="A7" s="457"/>
      <c r="B7" s="458"/>
      <c r="C7" s="458"/>
      <c r="D7" s="458"/>
      <c r="E7" s="459"/>
      <c r="F7" s="511" t="s">
        <v>288</v>
      </c>
      <c r="G7" s="460" t="s">
        <v>1</v>
      </c>
      <c r="H7" s="511" t="s">
        <v>279</v>
      </c>
      <c r="I7" s="460" t="s">
        <v>1</v>
      </c>
      <c r="J7" s="511" t="s">
        <v>278</v>
      </c>
      <c r="K7" s="460" t="s">
        <v>1</v>
      </c>
      <c r="L7" s="511" t="s">
        <v>278</v>
      </c>
      <c r="M7" s="460" t="s">
        <v>1</v>
      </c>
      <c r="N7" s="511" t="s">
        <v>278</v>
      </c>
      <c r="O7" s="461" t="s">
        <v>1</v>
      </c>
    </row>
    <row r="8" spans="1:25" ht="15.75" customHeight="1">
      <c r="A8" s="462" t="s">
        <v>84</v>
      </c>
      <c r="B8" s="512" t="s">
        <v>46</v>
      </c>
      <c r="C8" s="513"/>
      <c r="D8" s="513"/>
      <c r="E8" s="514" t="s">
        <v>37</v>
      </c>
      <c r="F8" s="463">
        <f>2010983/1000</f>
        <v>2010.983</v>
      </c>
      <c r="G8" s="463">
        <f>2278036/1000</f>
        <v>2278.036</v>
      </c>
      <c r="H8" s="463">
        <f>(15990165+5457601+4541)/1000</f>
        <v>21452.307</v>
      </c>
      <c r="I8" s="463">
        <f>(18662001+3633394+582)/1000</f>
        <v>22295.977</v>
      </c>
      <c r="J8" s="463">
        <f>30287857/1000</f>
        <v>30287.857</v>
      </c>
      <c r="K8" s="463">
        <v>29958.502</v>
      </c>
      <c r="L8" s="463"/>
      <c r="M8" s="464"/>
      <c r="N8" s="463"/>
      <c r="O8" s="465"/>
      <c r="P8" s="515"/>
      <c r="Q8" s="515"/>
      <c r="R8" s="515"/>
      <c r="S8" s="515"/>
      <c r="T8" s="515"/>
      <c r="U8" s="515"/>
      <c r="V8" s="515"/>
      <c r="W8" s="515"/>
      <c r="X8" s="515"/>
      <c r="Y8" s="515"/>
    </row>
    <row r="9" spans="1:25" ht="15.75" customHeight="1">
      <c r="A9" s="466"/>
      <c r="B9" s="508"/>
      <c r="C9" s="516" t="s">
        <v>47</v>
      </c>
      <c r="D9" s="517"/>
      <c r="E9" s="518" t="s">
        <v>38</v>
      </c>
      <c r="F9" s="344">
        <f>2010982/1000</f>
        <v>2010.982</v>
      </c>
      <c r="G9" s="344">
        <f>2237422/1000</f>
        <v>2237.422</v>
      </c>
      <c r="H9" s="344">
        <f>(15990165+5457601)/1000</f>
        <v>21447.766</v>
      </c>
      <c r="I9" s="344">
        <f>(18662001+3633394)/1000</f>
        <v>22295.395</v>
      </c>
      <c r="J9" s="344">
        <f>(22421504+7848948)/1000</f>
        <v>30270.452</v>
      </c>
      <c r="K9" s="344">
        <v>29932.021</v>
      </c>
      <c r="L9" s="344"/>
      <c r="M9" s="467"/>
      <c r="N9" s="344"/>
      <c r="O9" s="468"/>
      <c r="P9" s="515"/>
      <c r="Q9" s="515"/>
      <c r="R9" s="515"/>
      <c r="S9" s="515"/>
      <c r="T9" s="515"/>
      <c r="U9" s="515"/>
      <c r="V9" s="515"/>
      <c r="W9" s="515"/>
      <c r="X9" s="515"/>
      <c r="Y9" s="515"/>
    </row>
    <row r="10" spans="1:25" ht="15.75" customHeight="1">
      <c r="A10" s="466"/>
      <c r="B10" s="519"/>
      <c r="C10" s="516" t="s">
        <v>48</v>
      </c>
      <c r="D10" s="517"/>
      <c r="E10" s="518" t="s">
        <v>39</v>
      </c>
      <c r="F10" s="344">
        <f>1/1000</f>
        <v>0.001</v>
      </c>
      <c r="G10" s="344">
        <f>40614/1000</f>
        <v>40.614</v>
      </c>
      <c r="H10" s="344">
        <f>4541/1000</f>
        <v>4.541</v>
      </c>
      <c r="I10" s="344">
        <f>582/1000</f>
        <v>0.582</v>
      </c>
      <c r="J10" s="520">
        <f>17405/1000</f>
        <v>17.405</v>
      </c>
      <c r="K10" s="520">
        <v>26.481</v>
      </c>
      <c r="L10" s="344"/>
      <c r="M10" s="467"/>
      <c r="N10" s="344"/>
      <c r="O10" s="468"/>
      <c r="P10" s="515"/>
      <c r="Q10" s="515"/>
      <c r="R10" s="515"/>
      <c r="S10" s="515"/>
      <c r="T10" s="515"/>
      <c r="U10" s="515"/>
      <c r="V10" s="515"/>
      <c r="W10" s="515"/>
      <c r="X10" s="515"/>
      <c r="Y10" s="515"/>
    </row>
    <row r="11" spans="1:25" ht="15.75" customHeight="1">
      <c r="A11" s="466"/>
      <c r="B11" s="521" t="s">
        <v>49</v>
      </c>
      <c r="C11" s="522"/>
      <c r="D11" s="522"/>
      <c r="E11" s="523" t="s">
        <v>40</v>
      </c>
      <c r="F11" s="469">
        <f>2010983/1000</f>
        <v>2010.983</v>
      </c>
      <c r="G11" s="469">
        <f>2278036/1000</f>
        <v>2278.036</v>
      </c>
      <c r="H11" s="469">
        <f>(21730281+1066898+521394)/1000</f>
        <v>23318.573</v>
      </c>
      <c r="I11" s="469">
        <f>(21447850+1168694+519292)/1000</f>
        <v>23135.836</v>
      </c>
      <c r="J11" s="469">
        <f>28352196/1000</f>
        <v>28352.196</v>
      </c>
      <c r="K11" s="469">
        <v>28944.324</v>
      </c>
      <c r="L11" s="469"/>
      <c r="M11" s="470"/>
      <c r="N11" s="469"/>
      <c r="O11" s="471"/>
      <c r="P11" s="515"/>
      <c r="Q11" s="515"/>
      <c r="R11" s="515"/>
      <c r="S11" s="515"/>
      <c r="T11" s="515"/>
      <c r="U11" s="515"/>
      <c r="V11" s="515"/>
      <c r="W11" s="515"/>
      <c r="X11" s="515"/>
      <c r="Y11" s="515"/>
    </row>
    <row r="12" spans="1:25" ht="15.75" customHeight="1">
      <c r="A12" s="466"/>
      <c r="B12" s="524"/>
      <c r="C12" s="516" t="s">
        <v>50</v>
      </c>
      <c r="D12" s="517"/>
      <c r="E12" s="518" t="s">
        <v>41</v>
      </c>
      <c r="F12" s="344">
        <f>2010610/1000</f>
        <v>2010.61</v>
      </c>
      <c r="G12" s="344">
        <f>2089807/1000</f>
        <v>2089.807</v>
      </c>
      <c r="H12" s="469">
        <f>(21730281+1066898)/1000</f>
        <v>22797.179</v>
      </c>
      <c r="I12" s="469">
        <f>(21447850+1168694)/1000</f>
        <v>22616.544</v>
      </c>
      <c r="J12" s="469">
        <f>(23668427+4663219+10000)/1000</f>
        <v>28341.646</v>
      </c>
      <c r="K12" s="469">
        <v>28934.515</v>
      </c>
      <c r="L12" s="344"/>
      <c r="M12" s="467"/>
      <c r="N12" s="344"/>
      <c r="O12" s="468"/>
      <c r="P12" s="515"/>
      <c r="Q12" s="515"/>
      <c r="R12" s="515"/>
      <c r="S12" s="515"/>
      <c r="T12" s="515"/>
      <c r="U12" s="515"/>
      <c r="V12" s="515"/>
      <c r="W12" s="515"/>
      <c r="X12" s="515"/>
      <c r="Y12" s="515"/>
    </row>
    <row r="13" spans="1:25" ht="15.75" customHeight="1">
      <c r="A13" s="466"/>
      <c r="B13" s="508"/>
      <c r="C13" s="525" t="s">
        <v>51</v>
      </c>
      <c r="D13" s="526"/>
      <c r="E13" s="527" t="s">
        <v>42</v>
      </c>
      <c r="F13" s="472">
        <f>373/1000</f>
        <v>0.373</v>
      </c>
      <c r="G13" s="475">
        <f>188229/1000</f>
        <v>188.229</v>
      </c>
      <c r="H13" s="520">
        <f>521394/1000</f>
        <v>521.394</v>
      </c>
      <c r="I13" s="520">
        <f>519292/1000</f>
        <v>519.292</v>
      </c>
      <c r="J13" s="520">
        <f>10550/1000</f>
        <v>10.55</v>
      </c>
      <c r="K13" s="520">
        <v>9.809</v>
      </c>
      <c r="L13" s="472"/>
      <c r="M13" s="473"/>
      <c r="N13" s="472"/>
      <c r="O13" s="474"/>
      <c r="P13" s="515"/>
      <c r="Q13" s="515"/>
      <c r="R13" s="515"/>
      <c r="S13" s="515"/>
      <c r="T13" s="515"/>
      <c r="U13" s="515"/>
      <c r="V13" s="515"/>
      <c r="W13" s="515"/>
      <c r="X13" s="515"/>
      <c r="Y13" s="515"/>
    </row>
    <row r="14" spans="1:25" ht="15.75" customHeight="1">
      <c r="A14" s="466"/>
      <c r="B14" s="528" t="s">
        <v>52</v>
      </c>
      <c r="C14" s="517"/>
      <c r="D14" s="517"/>
      <c r="E14" s="518" t="s">
        <v>88</v>
      </c>
      <c r="F14" s="224">
        <f>F9-F12</f>
        <v>0.37200000000007094</v>
      </c>
      <c r="G14" s="224">
        <f>G9-G12</f>
        <v>147.61500000000024</v>
      </c>
      <c r="H14" s="224">
        <f aca="true" t="shared" si="0" ref="H14:K15">H9-H12</f>
        <v>-1349.4130000000005</v>
      </c>
      <c r="I14" s="224">
        <f t="shared" si="0"/>
        <v>-321.14900000000125</v>
      </c>
      <c r="J14" s="224">
        <f t="shared" si="0"/>
        <v>1928.8060000000005</v>
      </c>
      <c r="K14" s="224">
        <f t="shared" si="0"/>
        <v>997.5060000000012</v>
      </c>
      <c r="L14" s="224">
        <f aca="true" t="shared" si="1" ref="L14:O15">L9-L12</f>
        <v>0</v>
      </c>
      <c r="M14" s="225">
        <f t="shared" si="1"/>
        <v>0</v>
      </c>
      <c r="N14" s="224">
        <f t="shared" si="1"/>
        <v>0</v>
      </c>
      <c r="O14" s="225">
        <f t="shared" si="1"/>
        <v>0</v>
      </c>
      <c r="P14" s="515"/>
      <c r="Q14" s="515"/>
      <c r="R14" s="515"/>
      <c r="S14" s="515"/>
      <c r="T14" s="515"/>
      <c r="U14" s="515"/>
      <c r="V14" s="515"/>
      <c r="W14" s="515"/>
      <c r="X14" s="515"/>
      <c r="Y14" s="515"/>
    </row>
    <row r="15" spans="1:25" ht="15.75" customHeight="1">
      <c r="A15" s="466"/>
      <c r="B15" s="528" t="s">
        <v>53</v>
      </c>
      <c r="C15" s="517"/>
      <c r="D15" s="517"/>
      <c r="E15" s="518" t="s">
        <v>89</v>
      </c>
      <c r="F15" s="224">
        <f>F10-F13</f>
        <v>-0.372</v>
      </c>
      <c r="G15" s="224">
        <f>G10-G13</f>
        <v>-147.615</v>
      </c>
      <c r="H15" s="224">
        <f t="shared" si="0"/>
        <v>-516.853</v>
      </c>
      <c r="I15" s="224">
        <f t="shared" si="0"/>
        <v>-518.71</v>
      </c>
      <c r="J15" s="224">
        <f t="shared" si="0"/>
        <v>6.855</v>
      </c>
      <c r="K15" s="224">
        <f t="shared" si="0"/>
        <v>16.672000000000004</v>
      </c>
      <c r="L15" s="224">
        <f t="shared" si="1"/>
        <v>0</v>
      </c>
      <c r="M15" s="225">
        <f t="shared" si="1"/>
        <v>0</v>
      </c>
      <c r="N15" s="224">
        <f t="shared" si="1"/>
        <v>0</v>
      </c>
      <c r="O15" s="225">
        <f t="shared" si="1"/>
        <v>0</v>
      </c>
      <c r="P15" s="515"/>
      <c r="Q15" s="515"/>
      <c r="R15" s="515"/>
      <c r="S15" s="515"/>
      <c r="T15" s="515"/>
      <c r="U15" s="515"/>
      <c r="V15" s="515"/>
      <c r="W15" s="515"/>
      <c r="X15" s="515"/>
      <c r="Y15" s="515"/>
    </row>
    <row r="16" spans="1:25" ht="15.75" customHeight="1">
      <c r="A16" s="466"/>
      <c r="B16" s="528" t="s">
        <v>54</v>
      </c>
      <c r="C16" s="517"/>
      <c r="D16" s="517"/>
      <c r="E16" s="518" t="s">
        <v>90</v>
      </c>
      <c r="F16" s="224">
        <f aca="true" t="shared" si="2" ref="F16:O16">F8-F11</f>
        <v>0</v>
      </c>
      <c r="G16" s="475">
        <f t="shared" si="2"/>
        <v>0</v>
      </c>
      <c r="H16" s="224">
        <f t="shared" si="2"/>
        <v>-1866.2659999999996</v>
      </c>
      <c r="I16" s="475">
        <f t="shared" si="2"/>
        <v>-839.8590000000004</v>
      </c>
      <c r="J16" s="224">
        <f t="shared" si="2"/>
        <v>1935.661</v>
      </c>
      <c r="K16" s="475">
        <f t="shared" si="2"/>
        <v>1014.1779999999999</v>
      </c>
      <c r="L16" s="475">
        <f t="shared" si="2"/>
        <v>0</v>
      </c>
      <c r="M16" s="476">
        <f t="shared" si="2"/>
        <v>0</v>
      </c>
      <c r="N16" s="475">
        <f t="shared" si="2"/>
        <v>0</v>
      </c>
      <c r="O16" s="476">
        <f t="shared" si="2"/>
        <v>0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</row>
    <row r="17" spans="1:25" ht="15.75" customHeight="1">
      <c r="A17" s="466"/>
      <c r="B17" s="528" t="s">
        <v>55</v>
      </c>
      <c r="C17" s="517"/>
      <c r="D17" s="517"/>
      <c r="E17" s="529"/>
      <c r="F17" s="530">
        <v>0</v>
      </c>
      <c r="G17" s="224">
        <v>0</v>
      </c>
      <c r="H17" s="520">
        <f>9108348/1000</f>
        <v>9108.348</v>
      </c>
      <c r="I17" s="520">
        <f>6905491/1000</f>
        <v>6905.491</v>
      </c>
      <c r="J17" s="344">
        <v>0</v>
      </c>
      <c r="K17" s="344">
        <v>0</v>
      </c>
      <c r="L17" s="344"/>
      <c r="M17" s="467"/>
      <c r="N17" s="520"/>
      <c r="O17" s="477"/>
      <c r="P17" s="515"/>
      <c r="Q17" s="515"/>
      <c r="R17" s="515"/>
      <c r="S17" s="515"/>
      <c r="T17" s="515"/>
      <c r="U17" s="515"/>
      <c r="V17" s="515"/>
      <c r="W17" s="515"/>
      <c r="X17" s="515"/>
      <c r="Y17" s="515"/>
    </row>
    <row r="18" spans="1:25" ht="15.75" customHeight="1">
      <c r="A18" s="478"/>
      <c r="B18" s="531" t="s">
        <v>56</v>
      </c>
      <c r="C18" s="509"/>
      <c r="D18" s="509"/>
      <c r="E18" s="532"/>
      <c r="F18" s="533">
        <v>0</v>
      </c>
      <c r="G18" s="533">
        <v>0</v>
      </c>
      <c r="H18" s="479" t="s">
        <v>307</v>
      </c>
      <c r="I18" s="479">
        <v>0</v>
      </c>
      <c r="J18" s="479">
        <v>0</v>
      </c>
      <c r="K18" s="479">
        <v>0</v>
      </c>
      <c r="L18" s="479"/>
      <c r="M18" s="480"/>
      <c r="N18" s="479"/>
      <c r="O18" s="481"/>
      <c r="P18" s="515"/>
      <c r="Q18" s="515"/>
      <c r="R18" s="515"/>
      <c r="S18" s="515"/>
      <c r="T18" s="515"/>
      <c r="U18" s="515"/>
      <c r="V18" s="515"/>
      <c r="W18" s="515"/>
      <c r="X18" s="515"/>
      <c r="Y18" s="515"/>
    </row>
    <row r="19" spans="1:25" ht="15.75" customHeight="1">
      <c r="A19" s="466" t="s">
        <v>85</v>
      </c>
      <c r="B19" s="521" t="s">
        <v>57</v>
      </c>
      <c r="C19" s="534"/>
      <c r="D19" s="534"/>
      <c r="E19" s="535"/>
      <c r="F19" s="536">
        <f>1140287/1000</f>
        <v>1140.287</v>
      </c>
      <c r="G19" s="536">
        <f>930050/1000</f>
        <v>930.05</v>
      </c>
      <c r="H19" s="482">
        <v>3153</v>
      </c>
      <c r="I19" s="482">
        <f>2141958/1000</f>
        <v>2141.958</v>
      </c>
      <c r="J19" s="482">
        <f>17816101/1000</f>
        <v>17816.101</v>
      </c>
      <c r="K19" s="482">
        <v>17254.341</v>
      </c>
      <c r="L19" s="482"/>
      <c r="M19" s="483"/>
      <c r="N19" s="482"/>
      <c r="O19" s="484"/>
      <c r="P19" s="515"/>
      <c r="Q19" s="515"/>
      <c r="R19" s="515"/>
      <c r="S19" s="515"/>
      <c r="T19" s="515"/>
      <c r="U19" s="515"/>
      <c r="V19" s="515"/>
      <c r="W19" s="515"/>
      <c r="X19" s="515"/>
      <c r="Y19" s="515"/>
    </row>
    <row r="20" spans="1:25" ht="15.75" customHeight="1">
      <c r="A20" s="466"/>
      <c r="B20" s="537"/>
      <c r="C20" s="516" t="s">
        <v>58</v>
      </c>
      <c r="D20" s="517"/>
      <c r="E20" s="518"/>
      <c r="F20" s="224">
        <f>207000/1000</f>
        <v>207</v>
      </c>
      <c r="G20" s="224">
        <f>181000/1000</f>
        <v>181</v>
      </c>
      <c r="H20" s="344">
        <v>1002</v>
      </c>
      <c r="I20" s="344">
        <f>1204000/1000</f>
        <v>1204</v>
      </c>
      <c r="J20" s="344">
        <f>(13089000+1000)/1000</f>
        <v>13090</v>
      </c>
      <c r="K20" s="344">
        <v>12754</v>
      </c>
      <c r="L20" s="344"/>
      <c r="M20" s="467"/>
      <c r="N20" s="344"/>
      <c r="O20" s="468"/>
      <c r="P20" s="515"/>
      <c r="Q20" s="515"/>
      <c r="R20" s="515"/>
      <c r="S20" s="515"/>
      <c r="T20" s="515"/>
      <c r="U20" s="515"/>
      <c r="V20" s="515"/>
      <c r="W20" s="515"/>
      <c r="X20" s="515"/>
      <c r="Y20" s="515"/>
    </row>
    <row r="21" spans="1:25" ht="15.75" customHeight="1">
      <c r="A21" s="466"/>
      <c r="B21" s="538" t="s">
        <v>59</v>
      </c>
      <c r="C21" s="522"/>
      <c r="D21" s="522"/>
      <c r="E21" s="523" t="s">
        <v>91</v>
      </c>
      <c r="F21" s="539">
        <f>1140287/1000</f>
        <v>1140.287</v>
      </c>
      <c r="G21" s="539">
        <f>930050/1000</f>
        <v>930.05</v>
      </c>
      <c r="H21" s="469">
        <v>3153</v>
      </c>
      <c r="I21" s="469">
        <f>2141958/1000</f>
        <v>2141.958</v>
      </c>
      <c r="J21" s="469">
        <f>17816101/1000</f>
        <v>17816.101</v>
      </c>
      <c r="K21" s="469">
        <v>17254.341</v>
      </c>
      <c r="L21" s="469"/>
      <c r="M21" s="470"/>
      <c r="N21" s="469"/>
      <c r="O21" s="471"/>
      <c r="P21" s="515"/>
      <c r="Q21" s="515"/>
      <c r="R21" s="515"/>
      <c r="S21" s="515"/>
      <c r="T21" s="515"/>
      <c r="U21" s="515"/>
      <c r="V21" s="515"/>
      <c r="W21" s="515"/>
      <c r="X21" s="515"/>
      <c r="Y21" s="515"/>
    </row>
    <row r="22" spans="1:25" ht="15.75" customHeight="1">
      <c r="A22" s="466"/>
      <c r="B22" s="521" t="s">
        <v>60</v>
      </c>
      <c r="C22" s="534"/>
      <c r="D22" s="534"/>
      <c r="E22" s="535" t="s">
        <v>92</v>
      </c>
      <c r="F22" s="536">
        <f>1585044/1000</f>
        <v>1585.044</v>
      </c>
      <c r="G22" s="536">
        <f>1592106/1000</f>
        <v>1592.106</v>
      </c>
      <c r="H22" s="482">
        <v>3153</v>
      </c>
      <c r="I22" s="482">
        <f>3217232/1000</f>
        <v>3217.232</v>
      </c>
      <c r="J22" s="482">
        <f>28179315/1000</f>
        <v>28179.315</v>
      </c>
      <c r="K22" s="482">
        <v>27416.146</v>
      </c>
      <c r="L22" s="482"/>
      <c r="M22" s="483"/>
      <c r="N22" s="482"/>
      <c r="O22" s="484"/>
      <c r="P22" s="515"/>
      <c r="Q22" s="515"/>
      <c r="R22" s="515"/>
      <c r="S22" s="515"/>
      <c r="T22" s="515"/>
      <c r="U22" s="515"/>
      <c r="V22" s="515"/>
      <c r="W22" s="515"/>
      <c r="X22" s="515"/>
      <c r="Y22" s="515"/>
    </row>
    <row r="23" spans="1:25" ht="15.75" customHeight="1">
      <c r="A23" s="466"/>
      <c r="B23" s="524" t="s">
        <v>61</v>
      </c>
      <c r="C23" s="525" t="s">
        <v>62</v>
      </c>
      <c r="D23" s="526"/>
      <c r="E23" s="527"/>
      <c r="F23" s="475">
        <f>956182/1000</f>
        <v>956.182</v>
      </c>
      <c r="G23" s="475">
        <f>901541/1000</f>
        <v>901.541</v>
      </c>
      <c r="H23" s="472">
        <v>1689</v>
      </c>
      <c r="I23" s="472">
        <f>1563503/1000</f>
        <v>1563.503</v>
      </c>
      <c r="J23" s="472">
        <f>16071986/1000</f>
        <v>16071.986</v>
      </c>
      <c r="K23" s="472">
        <v>15490.888</v>
      </c>
      <c r="L23" s="472"/>
      <c r="M23" s="473"/>
      <c r="N23" s="472"/>
      <c r="O23" s="474"/>
      <c r="P23" s="515"/>
      <c r="Q23" s="515"/>
      <c r="R23" s="515"/>
      <c r="S23" s="515"/>
      <c r="T23" s="515"/>
      <c r="U23" s="515"/>
      <c r="V23" s="515"/>
      <c r="W23" s="515"/>
      <c r="X23" s="515"/>
      <c r="Y23" s="515"/>
    </row>
    <row r="24" spans="1:25" ht="15.75" customHeight="1">
      <c r="A24" s="466"/>
      <c r="B24" s="528" t="s">
        <v>93</v>
      </c>
      <c r="C24" s="517"/>
      <c r="D24" s="517"/>
      <c r="E24" s="518" t="s">
        <v>94</v>
      </c>
      <c r="F24" s="224">
        <f aca="true" t="shared" si="3" ref="F24:O24">F21-F22</f>
        <v>-444.75700000000006</v>
      </c>
      <c r="G24" s="224">
        <f t="shared" si="3"/>
        <v>-662.056</v>
      </c>
      <c r="H24" s="224">
        <f t="shared" si="3"/>
        <v>0</v>
      </c>
      <c r="I24" s="224">
        <f t="shared" si="3"/>
        <v>-1075.274</v>
      </c>
      <c r="J24" s="224">
        <f t="shared" si="3"/>
        <v>-10363.214</v>
      </c>
      <c r="K24" s="224">
        <f t="shared" si="3"/>
        <v>-10161.805</v>
      </c>
      <c r="L24" s="224">
        <f t="shared" si="3"/>
        <v>0</v>
      </c>
      <c r="M24" s="225">
        <f t="shared" si="3"/>
        <v>0</v>
      </c>
      <c r="N24" s="224">
        <f t="shared" si="3"/>
        <v>0</v>
      </c>
      <c r="O24" s="225">
        <f t="shared" si="3"/>
        <v>0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</row>
    <row r="25" spans="1:25" ht="15.75" customHeight="1">
      <c r="A25" s="466"/>
      <c r="B25" s="540" t="s">
        <v>63</v>
      </c>
      <c r="C25" s="526"/>
      <c r="D25" s="526"/>
      <c r="E25" s="541" t="s">
        <v>95</v>
      </c>
      <c r="F25" s="542">
        <f>444757/1000</f>
        <v>444.757</v>
      </c>
      <c r="G25" s="542">
        <f>662056/1000</f>
        <v>662.056</v>
      </c>
      <c r="H25" s="485">
        <v>0</v>
      </c>
      <c r="I25" s="485">
        <f>1075274/1000</f>
        <v>1075.274</v>
      </c>
      <c r="J25" s="485">
        <f>10363214/1000</f>
        <v>10363.214</v>
      </c>
      <c r="K25" s="485">
        <v>10161.805</v>
      </c>
      <c r="L25" s="485"/>
      <c r="M25" s="486"/>
      <c r="N25" s="485"/>
      <c r="O25" s="486"/>
      <c r="P25" s="515"/>
      <c r="Q25" s="515"/>
      <c r="R25" s="515"/>
      <c r="S25" s="515"/>
      <c r="T25" s="515"/>
      <c r="U25" s="515"/>
      <c r="V25" s="515"/>
      <c r="W25" s="515"/>
      <c r="X25" s="515"/>
      <c r="Y25" s="515"/>
    </row>
    <row r="26" spans="1:25" ht="15.75" customHeight="1">
      <c r="A26" s="466"/>
      <c r="B26" s="538" t="s">
        <v>64</v>
      </c>
      <c r="C26" s="522"/>
      <c r="D26" s="522"/>
      <c r="E26" s="543"/>
      <c r="F26" s="544"/>
      <c r="G26" s="544"/>
      <c r="H26" s="545"/>
      <c r="I26" s="545"/>
      <c r="J26" s="545"/>
      <c r="K26" s="546"/>
      <c r="L26" s="545"/>
      <c r="M26" s="547"/>
      <c r="N26" s="545"/>
      <c r="O26" s="547"/>
      <c r="P26" s="515"/>
      <c r="Q26" s="515"/>
      <c r="R26" s="515"/>
      <c r="S26" s="515"/>
      <c r="T26" s="515"/>
      <c r="U26" s="515"/>
      <c r="V26" s="515"/>
      <c r="W26" s="515"/>
      <c r="X26" s="515"/>
      <c r="Y26" s="515"/>
    </row>
    <row r="27" spans="1:25" ht="15.75" customHeight="1">
      <c r="A27" s="478"/>
      <c r="B27" s="531" t="s">
        <v>96</v>
      </c>
      <c r="C27" s="509"/>
      <c r="D27" s="509"/>
      <c r="E27" s="548" t="s">
        <v>97</v>
      </c>
      <c r="F27" s="345">
        <f aca="true" t="shared" si="4" ref="F27:O27">F24+F25</f>
        <v>0</v>
      </c>
      <c r="G27" s="345">
        <f t="shared" si="4"/>
        <v>0</v>
      </c>
      <c r="H27" s="345">
        <f t="shared" si="4"/>
        <v>0</v>
      </c>
      <c r="I27" s="345">
        <f t="shared" si="4"/>
        <v>0</v>
      </c>
      <c r="J27" s="345">
        <f t="shared" si="4"/>
        <v>0</v>
      </c>
      <c r="K27" s="345">
        <f t="shared" si="4"/>
        <v>0</v>
      </c>
      <c r="L27" s="345">
        <f t="shared" si="4"/>
        <v>0</v>
      </c>
      <c r="M27" s="487">
        <f t="shared" si="4"/>
        <v>0</v>
      </c>
      <c r="N27" s="345">
        <f t="shared" si="4"/>
        <v>0</v>
      </c>
      <c r="O27" s="487">
        <f t="shared" si="4"/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</row>
    <row r="28" spans="6:25" ht="15.75" customHeight="1">
      <c r="F28" s="515"/>
      <c r="G28" s="515"/>
      <c r="H28" s="515"/>
      <c r="I28" s="515"/>
      <c r="J28" s="515"/>
      <c r="K28" s="515"/>
      <c r="L28" s="492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</row>
    <row r="29" spans="1:25" ht="15.75" customHeight="1">
      <c r="A29" s="509"/>
      <c r="F29" s="515"/>
      <c r="G29" s="515"/>
      <c r="H29" s="515"/>
      <c r="I29" s="515"/>
      <c r="J29" s="549"/>
      <c r="K29" s="549"/>
      <c r="L29" s="492"/>
      <c r="M29" s="515"/>
      <c r="N29" s="515"/>
      <c r="O29" s="549"/>
      <c r="P29" s="515"/>
      <c r="Q29" s="549" t="s">
        <v>101</v>
      </c>
      <c r="R29" s="515"/>
      <c r="S29" s="515"/>
      <c r="T29" s="515"/>
      <c r="U29" s="515"/>
      <c r="V29" s="515"/>
      <c r="W29" s="515"/>
      <c r="X29" s="515"/>
      <c r="Y29" s="549"/>
    </row>
    <row r="30" spans="1:25" ht="15.75" customHeight="1">
      <c r="A30" s="489" t="s">
        <v>65</v>
      </c>
      <c r="B30" s="490"/>
      <c r="C30" s="490"/>
      <c r="D30" s="490"/>
      <c r="E30" s="491"/>
      <c r="F30" s="550" t="s">
        <v>292</v>
      </c>
      <c r="G30" s="551"/>
      <c r="H30" s="550" t="s">
        <v>293</v>
      </c>
      <c r="I30" s="551"/>
      <c r="J30" s="550" t="s">
        <v>294</v>
      </c>
      <c r="K30" s="551"/>
      <c r="L30" s="550" t="s">
        <v>295</v>
      </c>
      <c r="M30" s="551"/>
      <c r="N30" s="550" t="s">
        <v>296</v>
      </c>
      <c r="O30" s="551"/>
      <c r="P30" s="552" t="s">
        <v>297</v>
      </c>
      <c r="Q30" s="553"/>
      <c r="R30" s="492"/>
      <c r="S30" s="492"/>
      <c r="T30" s="492"/>
      <c r="U30" s="492"/>
      <c r="V30" s="492"/>
      <c r="W30" s="492"/>
      <c r="X30" s="492"/>
      <c r="Y30" s="492"/>
    </row>
    <row r="31" spans="1:25" ht="15.75" customHeight="1">
      <c r="A31" s="493"/>
      <c r="B31" s="494"/>
      <c r="C31" s="494"/>
      <c r="D31" s="494"/>
      <c r="E31" s="495"/>
      <c r="F31" s="511" t="s">
        <v>298</v>
      </c>
      <c r="G31" s="496" t="s">
        <v>1</v>
      </c>
      <c r="H31" s="511" t="s">
        <v>278</v>
      </c>
      <c r="I31" s="496" t="s">
        <v>1</v>
      </c>
      <c r="J31" s="511" t="s">
        <v>278</v>
      </c>
      <c r="K31" s="497" t="s">
        <v>1</v>
      </c>
      <c r="L31" s="511" t="s">
        <v>278</v>
      </c>
      <c r="M31" s="496" t="s">
        <v>1</v>
      </c>
      <c r="N31" s="511" t="s">
        <v>278</v>
      </c>
      <c r="O31" s="498" t="s">
        <v>1</v>
      </c>
      <c r="P31" s="511" t="s">
        <v>278</v>
      </c>
      <c r="Q31" s="498" t="s">
        <v>1</v>
      </c>
      <c r="R31" s="499"/>
      <c r="S31" s="499"/>
      <c r="T31" s="499"/>
      <c r="U31" s="499"/>
      <c r="V31" s="499"/>
      <c r="W31" s="499"/>
      <c r="X31" s="499"/>
      <c r="Y31" s="499"/>
    </row>
    <row r="32" spans="1:25" ht="15.75" customHeight="1">
      <c r="A32" s="462" t="s">
        <v>86</v>
      </c>
      <c r="B32" s="512" t="s">
        <v>46</v>
      </c>
      <c r="C32" s="513"/>
      <c r="D32" s="513"/>
      <c r="E32" s="554" t="s">
        <v>37</v>
      </c>
      <c r="F32" s="482">
        <v>806.903</v>
      </c>
      <c r="G32" s="482">
        <v>910</v>
      </c>
      <c r="H32" s="463">
        <v>825</v>
      </c>
      <c r="I32" s="463">
        <v>878</v>
      </c>
      <c r="J32" s="463">
        <v>0.395</v>
      </c>
      <c r="K32" s="463">
        <v>0.395</v>
      </c>
      <c r="L32" s="482">
        <v>3.394</v>
      </c>
      <c r="M32" s="482">
        <v>4.135</v>
      </c>
      <c r="N32" s="463">
        <v>235</v>
      </c>
      <c r="O32" s="482">
        <v>236</v>
      </c>
      <c r="P32" s="463">
        <v>0</v>
      </c>
      <c r="Q32" s="463">
        <v>0</v>
      </c>
      <c r="R32" s="300"/>
      <c r="S32" s="300"/>
      <c r="T32" s="500"/>
      <c r="U32" s="500"/>
      <c r="V32" s="300"/>
      <c r="W32" s="300"/>
      <c r="X32" s="500"/>
      <c r="Y32" s="500"/>
    </row>
    <row r="33" spans="1:25" ht="15.75" customHeight="1">
      <c r="A33" s="501"/>
      <c r="B33" s="508"/>
      <c r="C33" s="525" t="s">
        <v>66</v>
      </c>
      <c r="D33" s="526"/>
      <c r="E33" s="555"/>
      <c r="F33" s="472">
        <v>495.962</v>
      </c>
      <c r="G33" s="472">
        <v>492</v>
      </c>
      <c r="H33" s="472">
        <v>313</v>
      </c>
      <c r="I33" s="472">
        <v>374</v>
      </c>
      <c r="J33" s="472">
        <v>0</v>
      </c>
      <c r="K33" s="472">
        <v>0</v>
      </c>
      <c r="L33" s="472">
        <v>3.394</v>
      </c>
      <c r="M33" s="472">
        <v>4.135</v>
      </c>
      <c r="N33" s="472">
        <v>67</v>
      </c>
      <c r="O33" s="472">
        <v>67</v>
      </c>
      <c r="P33" s="472">
        <v>0</v>
      </c>
      <c r="Q33" s="472">
        <v>0</v>
      </c>
      <c r="R33" s="300"/>
      <c r="S33" s="300"/>
      <c r="T33" s="500"/>
      <c r="U33" s="500"/>
      <c r="V33" s="300"/>
      <c r="W33" s="300"/>
      <c r="X33" s="500"/>
      <c r="Y33" s="500"/>
    </row>
    <row r="34" spans="1:25" ht="15.75" customHeight="1">
      <c r="A34" s="501"/>
      <c r="B34" s="508"/>
      <c r="C34" s="556"/>
      <c r="D34" s="516" t="s">
        <v>67</v>
      </c>
      <c r="E34" s="557"/>
      <c r="F34" s="344">
        <v>495.962</v>
      </c>
      <c r="G34" s="344">
        <v>492</v>
      </c>
      <c r="H34" s="344">
        <v>301</v>
      </c>
      <c r="I34" s="344">
        <v>360</v>
      </c>
      <c r="J34" s="344">
        <v>0</v>
      </c>
      <c r="K34" s="344">
        <v>0</v>
      </c>
      <c r="L34" s="344">
        <v>3.394</v>
      </c>
      <c r="M34" s="344">
        <v>4.135</v>
      </c>
      <c r="N34" s="344">
        <v>67</v>
      </c>
      <c r="O34" s="344">
        <v>67</v>
      </c>
      <c r="P34" s="344">
        <v>0</v>
      </c>
      <c r="Q34" s="344">
        <v>0</v>
      </c>
      <c r="R34" s="300"/>
      <c r="S34" s="300"/>
      <c r="T34" s="500"/>
      <c r="U34" s="500"/>
      <c r="V34" s="300"/>
      <c r="W34" s="300"/>
      <c r="X34" s="500"/>
      <c r="Y34" s="500"/>
    </row>
    <row r="35" spans="1:25" ht="15.75" customHeight="1">
      <c r="A35" s="501"/>
      <c r="B35" s="519"/>
      <c r="C35" s="558" t="s">
        <v>68</v>
      </c>
      <c r="D35" s="522"/>
      <c r="E35" s="559"/>
      <c r="F35" s="469">
        <v>310.941</v>
      </c>
      <c r="G35" s="469">
        <v>419</v>
      </c>
      <c r="H35" s="469">
        <v>512</v>
      </c>
      <c r="I35" s="469">
        <v>504</v>
      </c>
      <c r="J35" s="560">
        <v>0.395</v>
      </c>
      <c r="K35" s="560">
        <v>0.395</v>
      </c>
      <c r="L35" s="469"/>
      <c r="M35" s="469">
        <v>0</v>
      </c>
      <c r="N35" s="469">
        <v>168</v>
      </c>
      <c r="O35" s="469">
        <v>169</v>
      </c>
      <c r="P35" s="469">
        <v>0</v>
      </c>
      <c r="Q35" s="469">
        <v>0</v>
      </c>
      <c r="R35" s="300"/>
      <c r="S35" s="300"/>
      <c r="T35" s="500"/>
      <c r="U35" s="500"/>
      <c r="V35" s="300"/>
      <c r="W35" s="300"/>
      <c r="X35" s="500"/>
      <c r="Y35" s="500"/>
    </row>
    <row r="36" spans="1:25" ht="15.75" customHeight="1">
      <c r="A36" s="501"/>
      <c r="B36" s="521" t="s">
        <v>49</v>
      </c>
      <c r="C36" s="534"/>
      <c r="D36" s="534"/>
      <c r="E36" s="554" t="s">
        <v>38</v>
      </c>
      <c r="F36" s="536">
        <v>703.37</v>
      </c>
      <c r="G36" s="482">
        <v>739</v>
      </c>
      <c r="H36" s="482">
        <v>825</v>
      </c>
      <c r="I36" s="482">
        <v>878</v>
      </c>
      <c r="J36" s="482">
        <v>0.395</v>
      </c>
      <c r="K36" s="560">
        <v>0.395</v>
      </c>
      <c r="L36" s="482">
        <v>0.8</v>
      </c>
      <c r="M36" s="482">
        <v>0.8</v>
      </c>
      <c r="N36" s="482">
        <v>235</v>
      </c>
      <c r="O36" s="482">
        <v>236</v>
      </c>
      <c r="P36" s="482">
        <v>0</v>
      </c>
      <c r="Q36" s="482">
        <v>0</v>
      </c>
      <c r="R36" s="300"/>
      <c r="S36" s="300"/>
      <c r="T36" s="300"/>
      <c r="U36" s="300"/>
      <c r="V36" s="300"/>
      <c r="W36" s="300"/>
      <c r="X36" s="500"/>
      <c r="Y36" s="500"/>
    </row>
    <row r="37" spans="1:25" ht="15.75" customHeight="1">
      <c r="A37" s="501"/>
      <c r="B37" s="508"/>
      <c r="C37" s="516" t="s">
        <v>69</v>
      </c>
      <c r="D37" s="517"/>
      <c r="E37" s="557"/>
      <c r="F37" s="224">
        <v>455.036</v>
      </c>
      <c r="G37" s="344">
        <v>475</v>
      </c>
      <c r="H37" s="344">
        <v>811</v>
      </c>
      <c r="I37" s="344">
        <v>854</v>
      </c>
      <c r="J37" s="344">
        <v>0.395</v>
      </c>
      <c r="K37" s="560">
        <v>0.395</v>
      </c>
      <c r="L37" s="344">
        <v>0.8</v>
      </c>
      <c r="M37" s="344">
        <v>0.8</v>
      </c>
      <c r="N37" s="344">
        <v>157</v>
      </c>
      <c r="O37" s="344">
        <v>152</v>
      </c>
      <c r="P37" s="344">
        <v>0</v>
      </c>
      <c r="Q37" s="344">
        <v>0</v>
      </c>
      <c r="R37" s="300"/>
      <c r="S37" s="300"/>
      <c r="T37" s="300"/>
      <c r="U37" s="300"/>
      <c r="V37" s="300"/>
      <c r="W37" s="300"/>
      <c r="X37" s="500"/>
      <c r="Y37" s="500"/>
    </row>
    <row r="38" spans="1:25" ht="15.75" customHeight="1">
      <c r="A38" s="501"/>
      <c r="B38" s="519"/>
      <c r="C38" s="516" t="s">
        <v>70</v>
      </c>
      <c r="D38" s="517"/>
      <c r="E38" s="557"/>
      <c r="F38" s="224">
        <v>248.334</v>
      </c>
      <c r="G38" s="224">
        <v>264</v>
      </c>
      <c r="H38" s="344">
        <v>14</v>
      </c>
      <c r="I38" s="344">
        <v>24</v>
      </c>
      <c r="J38" s="344">
        <v>0</v>
      </c>
      <c r="K38" s="344">
        <v>0</v>
      </c>
      <c r="L38" s="344"/>
      <c r="M38" s="344">
        <v>0</v>
      </c>
      <c r="N38" s="344">
        <v>78</v>
      </c>
      <c r="O38" s="344">
        <v>84</v>
      </c>
      <c r="P38" s="344">
        <v>0</v>
      </c>
      <c r="Q38" s="344">
        <v>0</v>
      </c>
      <c r="R38" s="500"/>
      <c r="S38" s="500"/>
      <c r="T38" s="300"/>
      <c r="U38" s="300"/>
      <c r="V38" s="300"/>
      <c r="W38" s="300"/>
      <c r="X38" s="500"/>
      <c r="Y38" s="500"/>
    </row>
    <row r="39" spans="1:25" ht="15.75" customHeight="1">
      <c r="A39" s="502"/>
      <c r="B39" s="561" t="s">
        <v>71</v>
      </c>
      <c r="C39" s="562"/>
      <c r="D39" s="562"/>
      <c r="E39" s="563" t="s">
        <v>98</v>
      </c>
      <c r="F39" s="345">
        <f>F32-F36</f>
        <v>103.53300000000002</v>
      </c>
      <c r="G39" s="345">
        <f>G32-G36</f>
        <v>171</v>
      </c>
      <c r="H39" s="345">
        <f>H32-H36</f>
        <v>0</v>
      </c>
      <c r="I39" s="345">
        <f>I32-I36</f>
        <v>0</v>
      </c>
      <c r="J39" s="345">
        <v>0</v>
      </c>
      <c r="K39" s="345">
        <f aca="true" t="shared" si="5" ref="K39:Q39">K32-K36</f>
        <v>0</v>
      </c>
      <c r="L39" s="345">
        <f t="shared" si="5"/>
        <v>2.5940000000000003</v>
      </c>
      <c r="M39" s="345">
        <f t="shared" si="5"/>
        <v>3.335</v>
      </c>
      <c r="N39" s="345">
        <f t="shared" si="5"/>
        <v>0</v>
      </c>
      <c r="O39" s="345">
        <f t="shared" si="5"/>
        <v>0</v>
      </c>
      <c r="P39" s="345">
        <f t="shared" si="5"/>
        <v>0</v>
      </c>
      <c r="Q39" s="345">
        <f t="shared" si="5"/>
        <v>0</v>
      </c>
      <c r="R39" s="300"/>
      <c r="S39" s="300"/>
      <c r="T39" s="300"/>
      <c r="U39" s="300"/>
      <c r="V39" s="300"/>
      <c r="W39" s="300"/>
      <c r="X39" s="500"/>
      <c r="Y39" s="500"/>
    </row>
    <row r="40" spans="1:25" ht="15.75" customHeight="1">
      <c r="A40" s="462" t="s">
        <v>87</v>
      </c>
      <c r="B40" s="521" t="s">
        <v>72</v>
      </c>
      <c r="C40" s="534"/>
      <c r="D40" s="534"/>
      <c r="E40" s="554" t="s">
        <v>40</v>
      </c>
      <c r="F40" s="536">
        <v>576.11</v>
      </c>
      <c r="G40" s="536">
        <v>236</v>
      </c>
      <c r="H40" s="482">
        <v>236</v>
      </c>
      <c r="I40" s="482">
        <v>258</v>
      </c>
      <c r="J40" s="482">
        <f>771+122</f>
        <v>893</v>
      </c>
      <c r="K40" s="482">
        <v>905</v>
      </c>
      <c r="L40" s="482"/>
      <c r="M40" s="482">
        <v>0</v>
      </c>
      <c r="N40" s="482">
        <v>347</v>
      </c>
      <c r="O40" s="482">
        <v>269</v>
      </c>
      <c r="P40" s="482">
        <v>0</v>
      </c>
      <c r="Q40" s="482">
        <v>0</v>
      </c>
      <c r="R40" s="300"/>
      <c r="S40" s="300"/>
      <c r="T40" s="500"/>
      <c r="U40" s="500"/>
      <c r="V40" s="500"/>
      <c r="W40" s="500"/>
      <c r="X40" s="300"/>
      <c r="Y40" s="300"/>
    </row>
    <row r="41" spans="1:25" ht="15.75" customHeight="1">
      <c r="A41" s="503"/>
      <c r="B41" s="519"/>
      <c r="C41" s="516" t="s">
        <v>73</v>
      </c>
      <c r="D41" s="517"/>
      <c r="E41" s="557"/>
      <c r="F41" s="564">
        <v>525</v>
      </c>
      <c r="G41" s="564">
        <v>189</v>
      </c>
      <c r="H41" s="560">
        <v>98</v>
      </c>
      <c r="I41" s="560">
        <v>183</v>
      </c>
      <c r="J41" s="344">
        <v>0</v>
      </c>
      <c r="K41" s="344">
        <v>0</v>
      </c>
      <c r="L41" s="344"/>
      <c r="M41" s="344">
        <v>0</v>
      </c>
      <c r="N41" s="344">
        <v>33</v>
      </c>
      <c r="O41" s="344"/>
      <c r="P41" s="344">
        <v>0</v>
      </c>
      <c r="Q41" s="344">
        <v>0</v>
      </c>
      <c r="R41" s="500"/>
      <c r="S41" s="500"/>
      <c r="T41" s="500"/>
      <c r="U41" s="500"/>
      <c r="V41" s="500"/>
      <c r="W41" s="500"/>
      <c r="X41" s="300"/>
      <c r="Y41" s="300"/>
    </row>
    <row r="42" spans="1:25" ht="15.75" customHeight="1">
      <c r="A42" s="503"/>
      <c r="B42" s="521" t="s">
        <v>60</v>
      </c>
      <c r="C42" s="534"/>
      <c r="D42" s="534"/>
      <c r="E42" s="554" t="s">
        <v>41</v>
      </c>
      <c r="F42" s="536">
        <v>679.643</v>
      </c>
      <c r="G42" s="536">
        <v>407</v>
      </c>
      <c r="H42" s="482">
        <v>236</v>
      </c>
      <c r="I42" s="482">
        <v>258</v>
      </c>
      <c r="J42" s="482">
        <f>771+122</f>
        <v>893</v>
      </c>
      <c r="K42" s="482">
        <v>905</v>
      </c>
      <c r="L42" s="482"/>
      <c r="M42" s="482">
        <v>0</v>
      </c>
      <c r="N42" s="482">
        <v>347</v>
      </c>
      <c r="O42" s="482">
        <v>269</v>
      </c>
      <c r="P42" s="482">
        <v>0</v>
      </c>
      <c r="Q42" s="482">
        <v>0</v>
      </c>
      <c r="R42" s="300"/>
      <c r="S42" s="300"/>
      <c r="T42" s="500"/>
      <c r="U42" s="500"/>
      <c r="V42" s="300"/>
      <c r="W42" s="300"/>
      <c r="X42" s="300"/>
      <c r="Y42" s="300"/>
    </row>
    <row r="43" spans="1:25" ht="15.75" customHeight="1">
      <c r="A43" s="503"/>
      <c r="B43" s="519"/>
      <c r="C43" s="516" t="s">
        <v>74</v>
      </c>
      <c r="D43" s="517"/>
      <c r="E43" s="557"/>
      <c r="F43" s="224">
        <v>154.643</v>
      </c>
      <c r="G43" s="224">
        <v>218</v>
      </c>
      <c r="H43" s="344">
        <v>105</v>
      </c>
      <c r="I43" s="344">
        <v>74</v>
      </c>
      <c r="J43" s="560">
        <v>719</v>
      </c>
      <c r="K43" s="560">
        <v>719</v>
      </c>
      <c r="L43" s="344"/>
      <c r="M43" s="344">
        <v>0</v>
      </c>
      <c r="N43" s="344">
        <v>273</v>
      </c>
      <c r="O43" s="344">
        <v>267</v>
      </c>
      <c r="P43" s="344">
        <v>0</v>
      </c>
      <c r="Q43" s="344">
        <v>0</v>
      </c>
      <c r="R43" s="500"/>
      <c r="S43" s="300"/>
      <c r="T43" s="500"/>
      <c r="U43" s="500"/>
      <c r="V43" s="300"/>
      <c r="W43" s="300"/>
      <c r="X43" s="500"/>
      <c r="Y43" s="500"/>
    </row>
    <row r="44" spans="1:25" ht="15.75" customHeight="1">
      <c r="A44" s="504"/>
      <c r="B44" s="531" t="s">
        <v>71</v>
      </c>
      <c r="C44" s="509"/>
      <c r="D44" s="509"/>
      <c r="E44" s="563" t="s">
        <v>99</v>
      </c>
      <c r="F44" s="533">
        <f aca="true" t="shared" si="6" ref="F44:P44">F40-F42</f>
        <v>-103.53300000000002</v>
      </c>
      <c r="G44" s="533">
        <f t="shared" si="6"/>
        <v>-171</v>
      </c>
      <c r="H44" s="533">
        <f t="shared" si="6"/>
        <v>0</v>
      </c>
      <c r="I44" s="533">
        <f t="shared" si="6"/>
        <v>0</v>
      </c>
      <c r="J44" s="533">
        <f t="shared" si="6"/>
        <v>0</v>
      </c>
      <c r="K44" s="533">
        <f t="shared" si="6"/>
        <v>0</v>
      </c>
      <c r="L44" s="533">
        <f t="shared" si="6"/>
        <v>0</v>
      </c>
      <c r="M44" s="533">
        <f t="shared" si="6"/>
        <v>0</v>
      </c>
      <c r="N44" s="533">
        <f t="shared" si="6"/>
        <v>0</v>
      </c>
      <c r="O44" s="533">
        <f t="shared" si="6"/>
        <v>0</v>
      </c>
      <c r="P44" s="533">
        <f t="shared" si="6"/>
        <v>0</v>
      </c>
      <c r="Q44" s="533">
        <v>0</v>
      </c>
      <c r="R44" s="300"/>
      <c r="S44" s="300"/>
      <c r="T44" s="500"/>
      <c r="U44" s="500"/>
      <c r="V44" s="300"/>
      <c r="W44" s="300"/>
      <c r="X44" s="300"/>
      <c r="Y44" s="300"/>
    </row>
    <row r="45" spans="1:25" ht="15.75" customHeight="1">
      <c r="A45" s="505" t="s">
        <v>79</v>
      </c>
      <c r="B45" s="565" t="s">
        <v>75</v>
      </c>
      <c r="C45" s="566"/>
      <c r="D45" s="566"/>
      <c r="E45" s="567" t="s">
        <v>100</v>
      </c>
      <c r="F45" s="346">
        <f aca="true" t="shared" si="7" ref="F45:Q45">F39+F44</f>
        <v>0</v>
      </c>
      <c r="G45" s="346">
        <f t="shared" si="7"/>
        <v>0</v>
      </c>
      <c r="H45" s="346">
        <f t="shared" si="7"/>
        <v>0</v>
      </c>
      <c r="I45" s="346">
        <f t="shared" si="7"/>
        <v>0</v>
      </c>
      <c r="J45" s="346">
        <f t="shared" si="7"/>
        <v>0</v>
      </c>
      <c r="K45" s="346">
        <f t="shared" si="7"/>
        <v>0</v>
      </c>
      <c r="L45" s="346">
        <f t="shared" si="7"/>
        <v>2.5940000000000003</v>
      </c>
      <c r="M45" s="346">
        <f t="shared" si="7"/>
        <v>3.335</v>
      </c>
      <c r="N45" s="346">
        <f t="shared" si="7"/>
        <v>0</v>
      </c>
      <c r="O45" s="346">
        <f t="shared" si="7"/>
        <v>0</v>
      </c>
      <c r="P45" s="346">
        <f t="shared" si="7"/>
        <v>0</v>
      </c>
      <c r="Q45" s="346">
        <f t="shared" si="7"/>
        <v>0</v>
      </c>
      <c r="R45" s="300"/>
      <c r="S45" s="300"/>
      <c r="T45" s="300"/>
      <c r="U45" s="300"/>
      <c r="V45" s="300"/>
      <c r="W45" s="300"/>
      <c r="X45" s="300"/>
      <c r="Y45" s="300"/>
    </row>
    <row r="46" spans="1:25" ht="15.75" customHeight="1">
      <c r="A46" s="506"/>
      <c r="B46" s="528" t="s">
        <v>76</v>
      </c>
      <c r="C46" s="517"/>
      <c r="D46" s="517"/>
      <c r="E46" s="517"/>
      <c r="F46" s="564"/>
      <c r="G46" s="564">
        <v>0</v>
      </c>
      <c r="H46" s="560"/>
      <c r="I46" s="560">
        <v>0</v>
      </c>
      <c r="J46" s="560"/>
      <c r="K46" s="560">
        <v>0</v>
      </c>
      <c r="L46" s="344"/>
      <c r="M46" s="344">
        <v>0</v>
      </c>
      <c r="N46" s="560"/>
      <c r="O46" s="344">
        <v>0</v>
      </c>
      <c r="P46" s="560">
        <v>0</v>
      </c>
      <c r="Q46" s="560">
        <v>0</v>
      </c>
      <c r="R46" s="500"/>
      <c r="S46" s="500"/>
      <c r="T46" s="500"/>
      <c r="U46" s="500"/>
      <c r="V46" s="500"/>
      <c r="W46" s="500"/>
      <c r="X46" s="500"/>
      <c r="Y46" s="500"/>
    </row>
    <row r="47" spans="1:25" ht="15.75" customHeight="1">
      <c r="A47" s="506"/>
      <c r="B47" s="528" t="s">
        <v>77</v>
      </c>
      <c r="C47" s="517"/>
      <c r="D47" s="517"/>
      <c r="E47" s="517"/>
      <c r="F47" s="224"/>
      <c r="G47" s="344">
        <v>0</v>
      </c>
      <c r="H47" s="344"/>
      <c r="I47" s="344">
        <v>0</v>
      </c>
      <c r="J47" s="344"/>
      <c r="K47" s="344">
        <v>0</v>
      </c>
      <c r="L47" s="344"/>
      <c r="M47" s="344">
        <v>0</v>
      </c>
      <c r="N47" s="344"/>
      <c r="O47" s="344">
        <v>0</v>
      </c>
      <c r="P47" s="344">
        <v>0</v>
      </c>
      <c r="Q47" s="344">
        <v>0</v>
      </c>
      <c r="R47" s="300"/>
      <c r="S47" s="300"/>
      <c r="T47" s="300"/>
      <c r="U47" s="300"/>
      <c r="V47" s="300"/>
      <c r="W47" s="300"/>
      <c r="X47" s="300"/>
      <c r="Y47" s="300"/>
    </row>
    <row r="48" spans="1:25" ht="15.75" customHeight="1">
      <c r="A48" s="507"/>
      <c r="B48" s="531" t="s">
        <v>78</v>
      </c>
      <c r="C48" s="509"/>
      <c r="D48" s="509"/>
      <c r="E48" s="509"/>
      <c r="F48" s="568"/>
      <c r="G48" s="568">
        <v>0</v>
      </c>
      <c r="H48" s="568"/>
      <c r="I48" s="568">
        <v>0</v>
      </c>
      <c r="J48" s="568"/>
      <c r="K48" s="568">
        <v>0</v>
      </c>
      <c r="L48" s="568"/>
      <c r="M48" s="568">
        <v>0</v>
      </c>
      <c r="N48" s="568"/>
      <c r="O48" s="568">
        <v>0</v>
      </c>
      <c r="P48" s="568">
        <v>0</v>
      </c>
      <c r="Q48" s="568">
        <v>0</v>
      </c>
      <c r="R48" s="300"/>
      <c r="S48" s="300"/>
      <c r="T48" s="300"/>
      <c r="U48" s="300"/>
      <c r="V48" s="300"/>
      <c r="W48" s="300"/>
      <c r="X48" s="300"/>
      <c r="Y48" s="300"/>
    </row>
    <row r="49" spans="1:16" ht="15.75" customHeight="1">
      <c r="A49" s="488" t="s">
        <v>83</v>
      </c>
      <c r="O49" s="508"/>
      <c r="P49" s="508"/>
    </row>
    <row r="50" spans="15:16" ht="15.75" customHeight="1">
      <c r="O50" s="508"/>
      <c r="P50" s="508"/>
    </row>
  </sheetData>
  <sheetProtection/>
  <mergeCells count="29">
    <mergeCell ref="P30:Q30"/>
    <mergeCell ref="N6:O6"/>
    <mergeCell ref="F30:G30"/>
    <mergeCell ref="H30:I30"/>
    <mergeCell ref="J30:K30"/>
    <mergeCell ref="L30:M30"/>
    <mergeCell ref="N30:O30"/>
    <mergeCell ref="F6:G6"/>
    <mergeCell ref="H6:I6"/>
    <mergeCell ref="I25:I26"/>
    <mergeCell ref="L6:M6"/>
    <mergeCell ref="A40:A44"/>
    <mergeCell ref="A45:A48"/>
    <mergeCell ref="N25:N26"/>
    <mergeCell ref="A6:E7"/>
    <mergeCell ref="A8:A18"/>
    <mergeCell ref="E25:E26"/>
    <mergeCell ref="J6:K6"/>
    <mergeCell ref="M25:M26"/>
    <mergeCell ref="O25:O26"/>
    <mergeCell ref="A30:E31"/>
    <mergeCell ref="J25:J26"/>
    <mergeCell ref="K25:K26"/>
    <mergeCell ref="L25:L26"/>
    <mergeCell ref="A32:A39"/>
    <mergeCell ref="G25:G26"/>
    <mergeCell ref="H25:H26"/>
    <mergeCell ref="F25:F26"/>
    <mergeCell ref="A19:A27"/>
  </mergeCells>
  <printOptions horizontalCentered="1"/>
  <pageMargins left="0.7874015748031497" right="0.36" top="0.28" bottom="0.23" header="0.1968503937007874" footer="0.1968503937007874"/>
  <pageSetup firstPageNumber="3" useFirstPageNumber="1" horizontalDpi="300" verticalDpi="300" orientation="landscape" paperSize="9" scale="67" r:id="rId1"/>
  <headerFooter alignWithMargins="0">
    <oddHeader>&amp;R&amp;"明朝,斜体"&amp;9指定都市－2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53"/>
  <sheetViews>
    <sheetView view="pageBreakPreview" zoomScaleSheetLayoutView="100" zoomScalePageLayoutView="0" workbookViewId="0" topLeftCell="A1">
      <pane xSplit="5" ySplit="8" topLeftCell="F9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F33" sqref="F33"/>
    </sheetView>
  </sheetViews>
  <sheetFormatPr defaultColWidth="8.796875" defaultRowHeight="14.25"/>
  <cols>
    <col min="1" max="2" width="3.59765625" style="1" customWidth="1"/>
    <col min="3" max="4" width="1.59765625" style="1" customWidth="1"/>
    <col min="5" max="5" width="32.59765625" style="1" customWidth="1"/>
    <col min="6" max="6" width="15.59765625" style="1" customWidth="1"/>
    <col min="7" max="7" width="10.59765625" style="1" customWidth="1"/>
    <col min="8" max="8" width="15.59765625" style="1" customWidth="1"/>
    <col min="9" max="25" width="10.59765625" style="1" customWidth="1"/>
    <col min="26" max="27" width="9" style="1" customWidth="1"/>
    <col min="28" max="28" width="11.3984375" style="1" customWidth="1"/>
    <col min="29" max="29" width="12.69921875" style="1" customWidth="1"/>
    <col min="30" max="30" width="13.8984375" style="1" customWidth="1"/>
    <col min="31" max="31" width="14.69921875" style="1" customWidth="1"/>
    <col min="32" max="39" width="11.09765625" style="1" customWidth="1"/>
    <col min="40" max="16384" width="9" style="1" customWidth="1"/>
  </cols>
  <sheetData>
    <row r="1" spans="1:28" ht="33.75" customHeight="1">
      <c r="A1" s="385" t="s">
        <v>0</v>
      </c>
      <c r="B1" s="385"/>
      <c r="C1" s="385"/>
      <c r="D1" s="385"/>
      <c r="E1" s="42" t="s">
        <v>301</v>
      </c>
      <c r="F1" s="2"/>
      <c r="AA1" s="384" t="s">
        <v>129</v>
      </c>
      <c r="AB1" s="384"/>
    </row>
    <row r="2" spans="27:37" ht="13.5">
      <c r="AA2" s="376" t="s">
        <v>106</v>
      </c>
      <c r="AB2" s="376"/>
      <c r="AC2" s="381" t="s">
        <v>107</v>
      </c>
      <c r="AD2" s="377" t="s">
        <v>108</v>
      </c>
      <c r="AE2" s="378"/>
      <c r="AF2" s="379"/>
      <c r="AG2" s="376" t="s">
        <v>109</v>
      </c>
      <c r="AH2" s="376" t="s">
        <v>110</v>
      </c>
      <c r="AI2" s="376" t="s">
        <v>111</v>
      </c>
      <c r="AJ2" s="376" t="s">
        <v>112</v>
      </c>
      <c r="AK2" s="376" t="s">
        <v>113</v>
      </c>
    </row>
    <row r="3" spans="1:37" ht="14.25">
      <c r="A3" s="22" t="s">
        <v>130</v>
      </c>
      <c r="AA3" s="376"/>
      <c r="AB3" s="376"/>
      <c r="AC3" s="383"/>
      <c r="AD3" s="139"/>
      <c r="AE3" s="138" t="s">
        <v>126</v>
      </c>
      <c r="AF3" s="138" t="s">
        <v>127</v>
      </c>
      <c r="AG3" s="376"/>
      <c r="AH3" s="376"/>
      <c r="AI3" s="376"/>
      <c r="AJ3" s="376"/>
      <c r="AK3" s="376"/>
    </row>
    <row r="4" spans="27:38" ht="13.5">
      <c r="AA4" s="140" t="str">
        <f>E1</f>
        <v>千葉市</v>
      </c>
      <c r="AB4" s="140" t="s">
        <v>131</v>
      </c>
      <c r="AC4" s="141">
        <f>SUM(F22)</f>
        <v>394266</v>
      </c>
      <c r="AD4" s="141">
        <f>F9</f>
        <v>175535</v>
      </c>
      <c r="AE4" s="141">
        <f>F10</f>
        <v>83257</v>
      </c>
      <c r="AF4" s="141">
        <f>F13</f>
        <v>66830</v>
      </c>
      <c r="AG4" s="141">
        <f>F14</f>
        <v>2668</v>
      </c>
      <c r="AH4" s="141">
        <f>F15</f>
        <v>8456</v>
      </c>
      <c r="AI4" s="141">
        <f>F17</f>
        <v>62402</v>
      </c>
      <c r="AJ4" s="141">
        <f>F20</f>
        <v>39972</v>
      </c>
      <c r="AK4" s="141">
        <f>F21</f>
        <v>76627</v>
      </c>
      <c r="AL4" s="142"/>
    </row>
    <row r="5" spans="1:37" ht="14.25">
      <c r="A5" s="21" t="s">
        <v>280</v>
      </c>
      <c r="E5" s="3"/>
      <c r="AA5" s="140" t="str">
        <f>E1</f>
        <v>千葉市</v>
      </c>
      <c r="AB5" s="140" t="s">
        <v>115</v>
      </c>
      <c r="AC5" s="143"/>
      <c r="AD5" s="143">
        <f>G9</f>
        <v>44.52197247543537</v>
      </c>
      <c r="AE5" s="143">
        <f>G10</f>
        <v>21.116961645183707</v>
      </c>
      <c r="AF5" s="143">
        <f>G13</f>
        <v>16.950485205419692</v>
      </c>
      <c r="AG5" s="143">
        <f>G14</f>
        <v>0.6767005016917513</v>
      </c>
      <c r="AH5" s="143">
        <f>G15</f>
        <v>2.1447449184053404</v>
      </c>
      <c r="AI5" s="143">
        <f>G17</f>
        <v>15.82738557217716</v>
      </c>
      <c r="AJ5" s="143">
        <f>G20</f>
        <v>10.138333003606702</v>
      </c>
      <c r="AK5" s="143">
        <f>G21</f>
        <v>19.4353558257623</v>
      </c>
    </row>
    <row r="6" spans="1:37" ht="14.25">
      <c r="A6" s="3"/>
      <c r="G6" s="389" t="s">
        <v>132</v>
      </c>
      <c r="H6" s="390"/>
      <c r="I6" s="390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AA6" s="140" t="str">
        <f>E1</f>
        <v>千葉市</v>
      </c>
      <c r="AB6" s="140" t="s">
        <v>116</v>
      </c>
      <c r="AC6" s="143">
        <f>SUM(I22)</f>
        <v>3.4191867922598096</v>
      </c>
      <c r="AD6" s="143">
        <f>I9</f>
        <v>0.31545921603812754</v>
      </c>
      <c r="AE6" s="143">
        <f>I10</f>
        <v>-0.3614212711975928</v>
      </c>
      <c r="AF6" s="143">
        <f>I13</f>
        <v>1.5082704254446577</v>
      </c>
      <c r="AG6" s="143">
        <f>I14</f>
        <v>3.97505845674202</v>
      </c>
      <c r="AH6" s="143">
        <f>I15</f>
        <v>10.535947712418302</v>
      </c>
      <c r="AI6" s="143">
        <f>I17</f>
        <v>4.34244628375553</v>
      </c>
      <c r="AJ6" s="143">
        <f>I20</f>
        <v>0.3842386800271269</v>
      </c>
      <c r="AK6" s="143">
        <f>I21</f>
        <v>9.532862574687663</v>
      </c>
    </row>
    <row r="7" spans="1:25" ht="27" customHeight="1">
      <c r="A7" s="19"/>
      <c r="B7" s="5"/>
      <c r="C7" s="5"/>
      <c r="D7" s="5"/>
      <c r="E7" s="23"/>
      <c r="F7" s="62" t="s">
        <v>281</v>
      </c>
      <c r="G7" s="63"/>
      <c r="H7" s="236" t="s">
        <v>1</v>
      </c>
      <c r="I7" s="149" t="s">
        <v>21</v>
      </c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</row>
    <row r="8" spans="1:25" ht="16.5" customHeight="1">
      <c r="A8" s="6"/>
      <c r="B8" s="7"/>
      <c r="C8" s="7"/>
      <c r="D8" s="7"/>
      <c r="E8" s="24"/>
      <c r="F8" s="28" t="s">
        <v>133</v>
      </c>
      <c r="G8" s="29" t="s">
        <v>2</v>
      </c>
      <c r="H8" s="237"/>
      <c r="I8" s="18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</row>
    <row r="9" spans="1:29" ht="18" customHeight="1">
      <c r="A9" s="386" t="s">
        <v>80</v>
      </c>
      <c r="B9" s="386" t="s">
        <v>81</v>
      </c>
      <c r="C9" s="47" t="s">
        <v>3</v>
      </c>
      <c r="D9" s="48"/>
      <c r="E9" s="49"/>
      <c r="F9" s="74">
        <f>ROUND(175534608/1000,0)</f>
        <v>175535</v>
      </c>
      <c r="G9" s="75">
        <f aca="true" t="shared" si="0" ref="G9:G22">F9/$F$22*100</f>
        <v>44.52197247543537</v>
      </c>
      <c r="H9" s="74">
        <f>ROUND(174983017/1000,0)</f>
        <v>174983</v>
      </c>
      <c r="I9" s="238">
        <f aca="true" t="shared" si="1" ref="I9:I40">(F9/H9-1)*100</f>
        <v>0.31545921603812754</v>
      </c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AA9" s="392" t="s">
        <v>129</v>
      </c>
      <c r="AB9" s="393"/>
      <c r="AC9" s="394" t="s">
        <v>117</v>
      </c>
    </row>
    <row r="10" spans="1:37" ht="18" customHeight="1">
      <c r="A10" s="387"/>
      <c r="B10" s="387"/>
      <c r="C10" s="8"/>
      <c r="D10" s="50" t="s">
        <v>22</v>
      </c>
      <c r="E10" s="30"/>
      <c r="F10" s="297">
        <f>ROUND(83256552/1000,0)</f>
        <v>83257</v>
      </c>
      <c r="G10" s="78">
        <f t="shared" si="0"/>
        <v>21.116961645183707</v>
      </c>
      <c r="H10" s="77">
        <f>ROUND(83559089/1000,0)</f>
        <v>83559</v>
      </c>
      <c r="I10" s="239">
        <f t="shared" si="1"/>
        <v>-0.3614212711975928</v>
      </c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AA10" s="376" t="s">
        <v>106</v>
      </c>
      <c r="AB10" s="376"/>
      <c r="AC10" s="394"/>
      <c r="AD10" s="377" t="s">
        <v>118</v>
      </c>
      <c r="AE10" s="378"/>
      <c r="AF10" s="379"/>
      <c r="AG10" s="377" t="s">
        <v>119</v>
      </c>
      <c r="AH10" s="391"/>
      <c r="AI10" s="380"/>
      <c r="AJ10" s="377" t="s">
        <v>120</v>
      </c>
      <c r="AK10" s="380"/>
    </row>
    <row r="11" spans="1:37" ht="18" customHeight="1">
      <c r="A11" s="387"/>
      <c r="B11" s="387"/>
      <c r="C11" s="34"/>
      <c r="D11" s="35"/>
      <c r="E11" s="33" t="s">
        <v>23</v>
      </c>
      <c r="F11" s="298">
        <f>ROUND(63754143/1000,0)</f>
        <v>63754</v>
      </c>
      <c r="G11" s="81">
        <f t="shared" si="0"/>
        <v>16.170301268686625</v>
      </c>
      <c r="H11" s="80">
        <f>ROUND(64168971/1000,0)</f>
        <v>64169</v>
      </c>
      <c r="I11" s="240">
        <f t="shared" si="1"/>
        <v>-0.6467297293085483</v>
      </c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AA11" s="376"/>
      <c r="AB11" s="376"/>
      <c r="AC11" s="392"/>
      <c r="AD11" s="139"/>
      <c r="AE11" s="138" t="s">
        <v>121</v>
      </c>
      <c r="AF11" s="138" t="s">
        <v>122</v>
      </c>
      <c r="AG11" s="139"/>
      <c r="AH11" s="138" t="s">
        <v>123</v>
      </c>
      <c r="AI11" s="138" t="s">
        <v>124</v>
      </c>
      <c r="AJ11" s="139"/>
      <c r="AK11" s="144" t="s">
        <v>125</v>
      </c>
    </row>
    <row r="12" spans="1:38" ht="18" customHeight="1">
      <c r="A12" s="387"/>
      <c r="B12" s="387"/>
      <c r="C12" s="34"/>
      <c r="D12" s="36"/>
      <c r="E12" s="33" t="s">
        <v>24</v>
      </c>
      <c r="F12" s="298">
        <f>ROUND(14492169/1000,0)</f>
        <v>14492</v>
      </c>
      <c r="G12" s="81">
        <f t="shared" si="0"/>
        <v>3.675691030928358</v>
      </c>
      <c r="H12" s="80">
        <f>ROUND(19390118/1000,0)</f>
        <v>19390</v>
      </c>
      <c r="I12" s="240">
        <f t="shared" si="1"/>
        <v>-25.260443527591548</v>
      </c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AA12" s="140" t="str">
        <f>E1</f>
        <v>千葉市</v>
      </c>
      <c r="AB12" s="140" t="s">
        <v>131</v>
      </c>
      <c r="AC12" s="141">
        <f>F40</f>
        <v>386679</v>
      </c>
      <c r="AD12" s="141">
        <f>F23</f>
        <v>207319</v>
      </c>
      <c r="AE12" s="141">
        <f>F24</f>
        <v>54212</v>
      </c>
      <c r="AF12" s="141">
        <f>F26</f>
        <v>58698</v>
      </c>
      <c r="AG12" s="141">
        <f>F27</f>
        <v>147525</v>
      </c>
      <c r="AH12" s="141">
        <f>F28</f>
        <v>48031</v>
      </c>
      <c r="AI12" s="141">
        <f>F32</f>
        <v>4418</v>
      </c>
      <c r="AJ12" s="141">
        <f>F34</f>
        <v>31835</v>
      </c>
      <c r="AK12" s="141">
        <f>F35</f>
        <v>31835</v>
      </c>
      <c r="AL12" s="145"/>
    </row>
    <row r="13" spans="1:37" ht="18" customHeight="1">
      <c r="A13" s="387"/>
      <c r="B13" s="387"/>
      <c r="C13" s="11"/>
      <c r="D13" s="31" t="s">
        <v>25</v>
      </c>
      <c r="E13" s="32"/>
      <c r="F13" s="299">
        <f>ROUND(66829618/1000,0)</f>
        <v>66830</v>
      </c>
      <c r="G13" s="84">
        <f t="shared" si="0"/>
        <v>16.950485205419692</v>
      </c>
      <c r="H13" s="83">
        <f>ROUND(65836988/1000,0)</f>
        <v>65837</v>
      </c>
      <c r="I13" s="241">
        <f t="shared" si="1"/>
        <v>1.5082704254446577</v>
      </c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AA13" s="140" t="str">
        <f>E1</f>
        <v>千葉市</v>
      </c>
      <c r="AB13" s="140" t="s">
        <v>115</v>
      </c>
      <c r="AC13" s="143"/>
      <c r="AD13" s="143">
        <f>G23</f>
        <v>53.61527261630448</v>
      </c>
      <c r="AE13" s="143">
        <f>G24</f>
        <v>14.019897641195927</v>
      </c>
      <c r="AF13" s="143">
        <f>G26</f>
        <v>15.180033050669936</v>
      </c>
      <c r="AG13" s="143">
        <f>G27</f>
        <v>38.151800330506696</v>
      </c>
      <c r="AH13" s="143">
        <f>G28</f>
        <v>12.421414144548839</v>
      </c>
      <c r="AI13" s="143">
        <f>G32</f>
        <v>1.142549763498923</v>
      </c>
      <c r="AJ13" s="143">
        <f>G34</f>
        <v>8.23292705318882</v>
      </c>
      <c r="AK13" s="143">
        <f>G35</f>
        <v>8.23292705318882</v>
      </c>
    </row>
    <row r="14" spans="1:37" ht="18" customHeight="1">
      <c r="A14" s="387"/>
      <c r="B14" s="387"/>
      <c r="C14" s="52" t="s">
        <v>4</v>
      </c>
      <c r="D14" s="53"/>
      <c r="E14" s="54"/>
      <c r="F14" s="80">
        <f>ROUND(2668285/1000,0)</f>
        <v>2668</v>
      </c>
      <c r="G14" s="81">
        <f t="shared" si="0"/>
        <v>0.6767005016917513</v>
      </c>
      <c r="H14" s="80">
        <f>ROUND(2566238/1000,0)</f>
        <v>2566</v>
      </c>
      <c r="I14" s="240">
        <f t="shared" si="1"/>
        <v>3.97505845674202</v>
      </c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AA14" s="140" t="str">
        <f>E1</f>
        <v>千葉市</v>
      </c>
      <c r="AB14" s="140" t="s">
        <v>116</v>
      </c>
      <c r="AC14" s="143">
        <f>I40</f>
        <v>2.3090233680467254</v>
      </c>
      <c r="AD14" s="143">
        <f>I23</f>
        <v>2.9736951900343644</v>
      </c>
      <c r="AE14" s="143">
        <f>I24</f>
        <v>-1.2513889141878676</v>
      </c>
      <c r="AF14" s="143">
        <f>I26</f>
        <v>1.289020034166799</v>
      </c>
      <c r="AG14" s="143">
        <f>I27</f>
        <v>1.9325907910010542</v>
      </c>
      <c r="AH14" s="143">
        <f>I28</f>
        <v>1.188193903132695</v>
      </c>
      <c r="AI14" s="143">
        <f>I32</f>
        <v>-28.162601626016258</v>
      </c>
      <c r="AJ14" s="143">
        <f>I34</f>
        <v>-0.1787282077009955</v>
      </c>
      <c r="AK14" s="143">
        <f>I35</f>
        <v>-0.06905860564396793</v>
      </c>
    </row>
    <row r="15" spans="1:25" ht="18" customHeight="1">
      <c r="A15" s="387"/>
      <c r="B15" s="387"/>
      <c r="C15" s="52" t="s">
        <v>5</v>
      </c>
      <c r="D15" s="53"/>
      <c r="E15" s="54"/>
      <c r="F15" s="80">
        <f>ROUND(8456385/1000,0)</f>
        <v>8456</v>
      </c>
      <c r="G15" s="81">
        <f t="shared" si="0"/>
        <v>2.1447449184053404</v>
      </c>
      <c r="H15" s="80">
        <f>ROUND(7650033/1000,0)</f>
        <v>7650</v>
      </c>
      <c r="I15" s="240">
        <f t="shared" si="1"/>
        <v>10.535947712418302</v>
      </c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</row>
    <row r="16" spans="1:25" ht="18" customHeight="1">
      <c r="A16" s="387"/>
      <c r="B16" s="387"/>
      <c r="C16" s="52" t="s">
        <v>26</v>
      </c>
      <c r="D16" s="53"/>
      <c r="E16" s="54"/>
      <c r="F16" s="80">
        <f>ROUND(10597233/1000,0)</f>
        <v>10597</v>
      </c>
      <c r="G16" s="81">
        <f t="shared" si="0"/>
        <v>2.687779316502057</v>
      </c>
      <c r="H16" s="80">
        <f>ROUND(10559939/1000,0)</f>
        <v>10560</v>
      </c>
      <c r="I16" s="240">
        <f t="shared" si="1"/>
        <v>0.3503787878787801</v>
      </c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</row>
    <row r="17" spans="1:25" ht="18" customHeight="1">
      <c r="A17" s="387"/>
      <c r="B17" s="387"/>
      <c r="C17" s="52" t="s">
        <v>6</v>
      </c>
      <c r="D17" s="53"/>
      <c r="E17" s="54"/>
      <c r="F17" s="80">
        <f>ROUND(62402033/1000,0)</f>
        <v>62402</v>
      </c>
      <c r="G17" s="81">
        <f t="shared" si="0"/>
        <v>15.82738557217716</v>
      </c>
      <c r="H17" s="80">
        <f>ROUND(59804828/1000,0)</f>
        <v>59805</v>
      </c>
      <c r="I17" s="240">
        <f t="shared" si="1"/>
        <v>4.34244628375553</v>
      </c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</row>
    <row r="18" spans="1:25" ht="18" customHeight="1">
      <c r="A18" s="387"/>
      <c r="B18" s="387"/>
      <c r="C18" s="52" t="s">
        <v>27</v>
      </c>
      <c r="D18" s="53"/>
      <c r="E18" s="54"/>
      <c r="F18" s="80">
        <f>ROUND(15198145/1000,0)</f>
        <v>15198</v>
      </c>
      <c r="G18" s="81">
        <f t="shared" si="0"/>
        <v>3.854757955289069</v>
      </c>
      <c r="H18" s="80">
        <f>ROUND(12398521/1000,0)</f>
        <v>12399</v>
      </c>
      <c r="I18" s="240">
        <f t="shared" si="1"/>
        <v>22.57440116138398</v>
      </c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</row>
    <row r="19" spans="1:25" ht="18" customHeight="1">
      <c r="A19" s="387"/>
      <c r="B19" s="387"/>
      <c r="C19" s="52" t="s">
        <v>28</v>
      </c>
      <c r="D19" s="53"/>
      <c r="E19" s="54"/>
      <c r="F19" s="80">
        <f>ROUND(2810535/1000,0)</f>
        <v>2811</v>
      </c>
      <c r="G19" s="81">
        <f t="shared" si="0"/>
        <v>0.7129704311302522</v>
      </c>
      <c r="H19" s="80">
        <f>ROUND(3490814/1000,0)</f>
        <v>3491</v>
      </c>
      <c r="I19" s="240">
        <f t="shared" si="1"/>
        <v>-19.478659409911202</v>
      </c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</row>
    <row r="20" spans="1:25" ht="18" customHeight="1">
      <c r="A20" s="387"/>
      <c r="B20" s="387"/>
      <c r="C20" s="52" t="s">
        <v>7</v>
      </c>
      <c r="D20" s="53"/>
      <c r="E20" s="54"/>
      <c r="F20" s="80">
        <f>ROUND(39972228/1000,0)</f>
        <v>39972</v>
      </c>
      <c r="G20" s="81">
        <f t="shared" si="0"/>
        <v>10.138333003606702</v>
      </c>
      <c r="H20" s="80">
        <f>ROUND(39819350/1000,0)</f>
        <v>39819</v>
      </c>
      <c r="I20" s="240">
        <f t="shared" si="1"/>
        <v>0.3842386800271269</v>
      </c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</row>
    <row r="21" spans="1:25" ht="18" customHeight="1">
      <c r="A21" s="387"/>
      <c r="B21" s="387"/>
      <c r="C21" s="57" t="s">
        <v>8</v>
      </c>
      <c r="D21" s="58"/>
      <c r="E21" s="56"/>
      <c r="F21" s="86">
        <v>76627</v>
      </c>
      <c r="G21" s="87">
        <f t="shared" si="0"/>
        <v>19.4353558257623</v>
      </c>
      <c r="H21" s="86">
        <f>ROUND(69958073/1000,0)</f>
        <v>69958</v>
      </c>
      <c r="I21" s="242">
        <f t="shared" si="1"/>
        <v>9.532862574687663</v>
      </c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</row>
    <row r="22" spans="1:25" ht="18" customHeight="1">
      <c r="A22" s="387"/>
      <c r="B22" s="388"/>
      <c r="C22" s="59" t="s">
        <v>9</v>
      </c>
      <c r="D22" s="37"/>
      <c r="E22" s="60"/>
      <c r="F22" s="89">
        <f>SUM(F9,F14:F21)</f>
        <v>394266</v>
      </c>
      <c r="G22" s="90">
        <f t="shared" si="0"/>
        <v>100</v>
      </c>
      <c r="H22" s="89">
        <f>SUM(H9,H14:H21)</f>
        <v>381231</v>
      </c>
      <c r="I22" s="243">
        <f t="shared" si="1"/>
        <v>3.4191867922598096</v>
      </c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</row>
    <row r="23" spans="1:25" ht="18" customHeight="1">
      <c r="A23" s="387"/>
      <c r="B23" s="386" t="s">
        <v>82</v>
      </c>
      <c r="C23" s="4" t="s">
        <v>10</v>
      </c>
      <c r="D23" s="5"/>
      <c r="E23" s="23"/>
      <c r="F23" s="300">
        <f>ROUND(207319190/1000,0)</f>
        <v>207319</v>
      </c>
      <c r="G23" s="75">
        <f aca="true" t="shared" si="2" ref="G23:G40">F23/$F$40*100</f>
        <v>53.61527261630448</v>
      </c>
      <c r="H23" s="74">
        <f>ROUND(201332200/1000,0)</f>
        <v>201332</v>
      </c>
      <c r="I23" s="244">
        <f t="shared" si="1"/>
        <v>2.9736951900343644</v>
      </c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</row>
    <row r="24" spans="1:25" ht="18" customHeight="1">
      <c r="A24" s="387"/>
      <c r="B24" s="387"/>
      <c r="C24" s="8"/>
      <c r="D24" s="10" t="s">
        <v>11</v>
      </c>
      <c r="E24" s="38"/>
      <c r="F24" s="298">
        <f>ROUND(54211743/1000,0)</f>
        <v>54212</v>
      </c>
      <c r="G24" s="81">
        <f t="shared" si="2"/>
        <v>14.019897641195927</v>
      </c>
      <c r="H24" s="80">
        <f>ROUND(54898616/1000,0)</f>
        <v>54899</v>
      </c>
      <c r="I24" s="240">
        <f t="shared" si="1"/>
        <v>-1.2513889141878676</v>
      </c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</row>
    <row r="25" spans="1:25" ht="18" customHeight="1">
      <c r="A25" s="387"/>
      <c r="B25" s="387"/>
      <c r="C25" s="8"/>
      <c r="D25" s="10" t="s">
        <v>29</v>
      </c>
      <c r="E25" s="38"/>
      <c r="F25" s="298">
        <f>ROUND(94409014/1000,0)</f>
        <v>94409</v>
      </c>
      <c r="G25" s="81">
        <f t="shared" si="2"/>
        <v>24.415341924438614</v>
      </c>
      <c r="H25" s="80">
        <f>ROUND(88482101/1000,0)</f>
        <v>88482</v>
      </c>
      <c r="I25" s="240">
        <f t="shared" si="1"/>
        <v>6.698537555661033</v>
      </c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</row>
    <row r="26" spans="1:25" ht="18" customHeight="1">
      <c r="A26" s="387"/>
      <c r="B26" s="387"/>
      <c r="C26" s="11"/>
      <c r="D26" s="10" t="s">
        <v>12</v>
      </c>
      <c r="E26" s="38"/>
      <c r="F26" s="298">
        <f>ROUND(58698433/1000,0)</f>
        <v>58698</v>
      </c>
      <c r="G26" s="81">
        <f t="shared" si="2"/>
        <v>15.180033050669936</v>
      </c>
      <c r="H26" s="80">
        <f>ROUND(57951483/1000,0)</f>
        <v>57951</v>
      </c>
      <c r="I26" s="240">
        <f t="shared" si="1"/>
        <v>1.289020034166799</v>
      </c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</row>
    <row r="27" spans="1:25" ht="18" customHeight="1">
      <c r="A27" s="387"/>
      <c r="B27" s="387"/>
      <c r="C27" s="8" t="s">
        <v>13</v>
      </c>
      <c r="D27" s="14"/>
      <c r="E27" s="25"/>
      <c r="F27" s="300">
        <f>SUM(F28:F33)</f>
        <v>147525</v>
      </c>
      <c r="G27" s="75">
        <f t="shared" si="2"/>
        <v>38.151800330506696</v>
      </c>
      <c r="H27" s="74">
        <f>ROUND(144728374/1000,0)</f>
        <v>144728</v>
      </c>
      <c r="I27" s="244">
        <f t="shared" si="1"/>
        <v>1.9325907910010542</v>
      </c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</row>
    <row r="28" spans="1:25" ht="18" customHeight="1">
      <c r="A28" s="387"/>
      <c r="B28" s="387"/>
      <c r="C28" s="8"/>
      <c r="D28" s="10" t="s">
        <v>14</v>
      </c>
      <c r="E28" s="38"/>
      <c r="F28" s="298">
        <f>ROUND(48030885/1000,0)</f>
        <v>48031</v>
      </c>
      <c r="G28" s="81">
        <f t="shared" si="2"/>
        <v>12.421414144548839</v>
      </c>
      <c r="H28" s="80">
        <f>ROUND(47466623/1000,0)</f>
        <v>47467</v>
      </c>
      <c r="I28" s="240">
        <f t="shared" si="1"/>
        <v>1.188193903132695</v>
      </c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</row>
    <row r="29" spans="1:25" ht="18" customHeight="1">
      <c r="A29" s="387"/>
      <c r="B29" s="387"/>
      <c r="C29" s="8"/>
      <c r="D29" s="10" t="s">
        <v>30</v>
      </c>
      <c r="E29" s="38"/>
      <c r="F29" s="298">
        <f>ROUND(7129160/1000,0)</f>
        <v>7129</v>
      </c>
      <c r="G29" s="81">
        <f t="shared" si="2"/>
        <v>1.8436480905350432</v>
      </c>
      <c r="H29" s="80">
        <f>ROUND(6788992/1000,0)</f>
        <v>6789</v>
      </c>
      <c r="I29" s="240">
        <f t="shared" si="1"/>
        <v>5.008101340403592</v>
      </c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</row>
    <row r="30" spans="1:25" ht="18" customHeight="1">
      <c r="A30" s="387"/>
      <c r="B30" s="387"/>
      <c r="C30" s="8"/>
      <c r="D30" s="10" t="s">
        <v>31</v>
      </c>
      <c r="E30" s="38"/>
      <c r="F30" s="298">
        <f>ROUND(28012689/1000,0)</f>
        <v>28013</v>
      </c>
      <c r="G30" s="81">
        <f t="shared" si="2"/>
        <v>7.244510304412705</v>
      </c>
      <c r="H30" s="80">
        <f>ROUND(27995581/1000,0)</f>
        <v>27996</v>
      </c>
      <c r="I30" s="240">
        <f t="shared" si="1"/>
        <v>0.06072296042292091</v>
      </c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</row>
    <row r="31" spans="1:25" ht="18" customHeight="1">
      <c r="A31" s="387"/>
      <c r="B31" s="387"/>
      <c r="C31" s="8"/>
      <c r="D31" s="10" t="s">
        <v>32</v>
      </c>
      <c r="E31" s="38"/>
      <c r="F31" s="298">
        <f>ROUND(27252885/1000,0)</f>
        <v>27253</v>
      </c>
      <c r="G31" s="81">
        <f t="shared" si="2"/>
        <v>7.0479648493970455</v>
      </c>
      <c r="H31" s="80">
        <f>ROUND(25204729/1000,0)</f>
        <v>25205</v>
      </c>
      <c r="I31" s="240">
        <f t="shared" si="1"/>
        <v>8.12537195000993</v>
      </c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</row>
    <row r="32" spans="1:25" ht="18" customHeight="1">
      <c r="A32" s="387"/>
      <c r="B32" s="387"/>
      <c r="C32" s="8"/>
      <c r="D32" s="10" t="s">
        <v>15</v>
      </c>
      <c r="E32" s="38"/>
      <c r="F32" s="298">
        <f>ROUND(4417688/1000,0)</f>
        <v>4418</v>
      </c>
      <c r="G32" s="81">
        <f t="shared" si="2"/>
        <v>1.142549763498923</v>
      </c>
      <c r="H32" s="80">
        <f>ROUND(6149665/1000,0)</f>
        <v>6150</v>
      </c>
      <c r="I32" s="240">
        <f t="shared" si="1"/>
        <v>-28.162601626016258</v>
      </c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</row>
    <row r="33" spans="1:25" ht="18" customHeight="1">
      <c r="A33" s="387"/>
      <c r="B33" s="387"/>
      <c r="C33" s="11"/>
      <c r="D33" s="10" t="s">
        <v>33</v>
      </c>
      <c r="E33" s="38"/>
      <c r="F33" s="353">
        <f>ROUND(32681729/1000,0)-1</f>
        <v>32681</v>
      </c>
      <c r="G33" s="81">
        <f t="shared" si="2"/>
        <v>8.451713178114147</v>
      </c>
      <c r="H33" s="80">
        <f>ROUND(31122784/1000,0)</f>
        <v>31123</v>
      </c>
      <c r="I33" s="240">
        <f t="shared" si="1"/>
        <v>5.005944157054265</v>
      </c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</row>
    <row r="34" spans="1:25" ht="18" customHeight="1">
      <c r="A34" s="387"/>
      <c r="B34" s="387"/>
      <c r="C34" s="8" t="s">
        <v>16</v>
      </c>
      <c r="D34" s="14"/>
      <c r="E34" s="25"/>
      <c r="F34" s="351">
        <f>ROUND(31834614/1000,0)</f>
        <v>31835</v>
      </c>
      <c r="G34" s="75">
        <f t="shared" si="2"/>
        <v>8.23292705318882</v>
      </c>
      <c r="H34" s="74">
        <f>ROUND(31891697/1000,0)</f>
        <v>31892</v>
      </c>
      <c r="I34" s="244">
        <f t="shared" si="1"/>
        <v>-0.1787282077009955</v>
      </c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</row>
    <row r="35" spans="1:25" ht="18" customHeight="1">
      <c r="A35" s="387"/>
      <c r="B35" s="387"/>
      <c r="C35" s="8"/>
      <c r="D35" s="39" t="s">
        <v>17</v>
      </c>
      <c r="E35" s="40"/>
      <c r="F35" s="352">
        <f>ROUND(31834614/1000,0)</f>
        <v>31835</v>
      </c>
      <c r="G35" s="78">
        <f t="shared" si="2"/>
        <v>8.23292705318882</v>
      </c>
      <c r="H35" s="77">
        <f>ROUND(31857387/1000,0)</f>
        <v>31857</v>
      </c>
      <c r="I35" s="239">
        <f t="shared" si="1"/>
        <v>-0.06905860564396793</v>
      </c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</row>
    <row r="36" spans="1:25" ht="18" customHeight="1">
      <c r="A36" s="387"/>
      <c r="B36" s="387"/>
      <c r="C36" s="8"/>
      <c r="D36" s="41"/>
      <c r="E36" s="134" t="s">
        <v>103</v>
      </c>
      <c r="F36" s="353">
        <v>11265</v>
      </c>
      <c r="G36" s="81">
        <f t="shared" si="2"/>
        <v>2.913269145725524</v>
      </c>
      <c r="H36" s="80">
        <f>ROUND(16158353/1000,0)</f>
        <v>16158</v>
      </c>
      <c r="I36" s="240">
        <f t="shared" si="1"/>
        <v>-30.28221314519124</v>
      </c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</row>
    <row r="37" spans="1:25" ht="18" customHeight="1">
      <c r="A37" s="387"/>
      <c r="B37" s="387"/>
      <c r="C37" s="8"/>
      <c r="D37" s="12"/>
      <c r="E37" s="33" t="s">
        <v>34</v>
      </c>
      <c r="F37" s="353">
        <f>ROUND(20569536/1000,0)</f>
        <v>20570</v>
      </c>
      <c r="G37" s="81">
        <f t="shared" si="2"/>
        <v>5.319657907463297</v>
      </c>
      <c r="H37" s="80">
        <f>ROUND(15699034/1000,0)</f>
        <v>15699</v>
      </c>
      <c r="I37" s="240">
        <f t="shared" si="1"/>
        <v>31.027453977960384</v>
      </c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</row>
    <row r="38" spans="1:25" ht="18" customHeight="1">
      <c r="A38" s="387"/>
      <c r="B38" s="387"/>
      <c r="C38" s="8"/>
      <c r="D38" s="61" t="s">
        <v>35</v>
      </c>
      <c r="E38" s="54"/>
      <c r="F38" s="353">
        <v>0</v>
      </c>
      <c r="G38" s="81">
        <f t="shared" si="2"/>
        <v>0</v>
      </c>
      <c r="H38" s="80">
        <f>ROUND(34310/1000,0)</f>
        <v>34</v>
      </c>
      <c r="I38" s="356" t="s">
        <v>304</v>
      </c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</row>
    <row r="39" spans="1:25" ht="18" customHeight="1">
      <c r="A39" s="387"/>
      <c r="B39" s="387"/>
      <c r="C39" s="6"/>
      <c r="D39" s="55" t="s">
        <v>36</v>
      </c>
      <c r="E39" s="56"/>
      <c r="F39" s="354">
        <v>0</v>
      </c>
      <c r="G39" s="87">
        <f t="shared" si="2"/>
        <v>0</v>
      </c>
      <c r="H39" s="86">
        <v>0</v>
      </c>
      <c r="I39" s="357" t="s">
        <v>305</v>
      </c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</row>
    <row r="40" spans="1:25" ht="18" customHeight="1">
      <c r="A40" s="388"/>
      <c r="B40" s="388"/>
      <c r="C40" s="6" t="s">
        <v>18</v>
      </c>
      <c r="D40" s="7"/>
      <c r="E40" s="24"/>
      <c r="F40" s="355">
        <f>SUM(F23,F27,F34)</f>
        <v>386679</v>
      </c>
      <c r="G40" s="90">
        <f t="shared" si="2"/>
        <v>100</v>
      </c>
      <c r="H40" s="89">
        <f>SUM(H23,H27,H34)</f>
        <v>377952</v>
      </c>
      <c r="I40" s="243">
        <f t="shared" si="1"/>
        <v>2.3090233680467254</v>
      </c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</row>
    <row r="41" ht="18" customHeight="1">
      <c r="A41" s="132" t="s">
        <v>19</v>
      </c>
    </row>
    <row r="42" ht="18" customHeight="1">
      <c r="A42" s="133" t="s">
        <v>20</v>
      </c>
    </row>
    <row r="52" ht="13.5">
      <c r="Z52" s="14"/>
    </row>
    <row r="53" ht="13.5">
      <c r="Z53" s="14"/>
    </row>
  </sheetData>
  <sheetProtection/>
  <mergeCells count="22">
    <mergeCell ref="AD10:AF10"/>
    <mergeCell ref="AG10:AI10"/>
    <mergeCell ref="AJ10:AK10"/>
    <mergeCell ref="B23:B40"/>
    <mergeCell ref="A9:A40"/>
    <mergeCell ref="B9:B22"/>
    <mergeCell ref="AA9:AB9"/>
    <mergeCell ref="AC9:AC11"/>
    <mergeCell ref="AA10:AA11"/>
    <mergeCell ref="AB10:AB11"/>
    <mergeCell ref="AG2:AG3"/>
    <mergeCell ref="AH2:AH3"/>
    <mergeCell ref="AI2:AI3"/>
    <mergeCell ref="AJ2:AJ3"/>
    <mergeCell ref="AK2:AK3"/>
    <mergeCell ref="G6:I6"/>
    <mergeCell ref="A1:D1"/>
    <mergeCell ref="AA1:AB1"/>
    <mergeCell ref="AA2:AA3"/>
    <mergeCell ref="AB2:AB3"/>
    <mergeCell ref="AC2:AC3"/>
    <mergeCell ref="AD2:AF2"/>
  </mergeCells>
  <printOptions horizontalCentered="1" verticalCentered="1"/>
  <pageMargins left="0" right="0" top="0.4330708661417323" bottom="0.1968503937007874" header="0.1968503937007874" footer="0.31496062992125984"/>
  <pageSetup firstPageNumber="1" useFirstPageNumber="1" horizontalDpi="300" verticalDpi="300" orientation="portrait" paperSize="9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6"/>
  <sheetViews>
    <sheetView view="pageBreakPreview" zoomScale="85" zoomScaleSheetLayoutView="85" zoomScalePageLayoutView="0" workbookViewId="0" topLeftCell="A1">
      <pane xSplit="4" ySplit="6" topLeftCell="E7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36" sqref="I36:I37"/>
    </sheetView>
  </sheetViews>
  <sheetFormatPr defaultColWidth="8.796875" defaultRowHeight="14.25"/>
  <cols>
    <col min="1" max="1" width="5.3984375" style="1" customWidth="1"/>
    <col min="2" max="2" width="3.09765625" style="1" customWidth="1"/>
    <col min="3" max="3" width="34.69921875" style="1" customWidth="1"/>
    <col min="4" max="9" width="11.8984375" style="1" customWidth="1"/>
    <col min="10" max="27" width="9" style="1" customWidth="1"/>
    <col min="28" max="45" width="13.59765625" style="1" customWidth="1"/>
    <col min="46" max="16384" width="9" style="1" customWidth="1"/>
  </cols>
  <sheetData>
    <row r="1" spans="1:45" ht="33.75" customHeight="1">
      <c r="A1" s="153" t="s">
        <v>0</v>
      </c>
      <c r="B1" s="153"/>
      <c r="C1" s="42" t="s">
        <v>301</v>
      </c>
      <c r="D1" s="154"/>
      <c r="E1" s="154"/>
      <c r="AA1" s="1" t="str">
        <f>C1</f>
        <v>千葉市</v>
      </c>
      <c r="AB1" s="1" t="s">
        <v>134</v>
      </c>
      <c r="AC1" s="1" t="s">
        <v>135</v>
      </c>
      <c r="AD1" s="155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27:45" ht="13.5">
      <c r="AA2" s="1" t="s">
        <v>151</v>
      </c>
      <c r="AB2" s="156">
        <f>I7</f>
        <v>394266</v>
      </c>
      <c r="AC2" s="156">
        <f>I9</f>
        <v>386679</v>
      </c>
      <c r="AD2" s="156">
        <f>I10</f>
        <v>7587</v>
      </c>
      <c r="AE2" s="156">
        <f>I11</f>
        <v>3046</v>
      </c>
      <c r="AF2" s="156">
        <f>I12</f>
        <v>4541</v>
      </c>
      <c r="AG2" s="156">
        <f>I13</f>
        <v>1569</v>
      </c>
      <c r="AH2" s="1">
        <f>I14</f>
        <v>0</v>
      </c>
      <c r="AI2" s="156">
        <f>I15</f>
        <v>3346</v>
      </c>
      <c r="AJ2" s="156">
        <f>I25</f>
        <v>210635</v>
      </c>
      <c r="AK2" s="157">
        <f>I26</f>
        <v>0.954</v>
      </c>
      <c r="AL2" s="158">
        <f>I27</f>
        <v>2.2</v>
      </c>
      <c r="AM2" s="158">
        <f>I28</f>
        <v>95.7</v>
      </c>
      <c r="AN2" s="158">
        <f>I29</f>
        <v>60.5</v>
      </c>
      <c r="AO2" s="158">
        <f>I33</f>
        <v>208.7</v>
      </c>
      <c r="AP2" s="156">
        <f>I16</f>
        <v>16839</v>
      </c>
      <c r="AQ2" s="156">
        <f>I17</f>
        <v>108718</v>
      </c>
      <c r="AR2" s="156">
        <f>I18</f>
        <v>715089</v>
      </c>
      <c r="AS2" s="159">
        <f>I21</f>
        <v>3.7936938503993645</v>
      </c>
    </row>
    <row r="3" spans="27:45" ht="13.5">
      <c r="AA3" s="1" t="s">
        <v>152</v>
      </c>
      <c r="AB3" s="156">
        <f>H7</f>
        <v>381231</v>
      </c>
      <c r="AC3" s="156">
        <f>H9</f>
        <v>377952</v>
      </c>
      <c r="AD3" s="156">
        <f>H10</f>
        <v>3279</v>
      </c>
      <c r="AE3" s="156">
        <f>H11</f>
        <v>307</v>
      </c>
      <c r="AF3" s="156">
        <f>H12</f>
        <v>2971</v>
      </c>
      <c r="AG3" s="156">
        <f>H13</f>
        <v>246</v>
      </c>
      <c r="AH3" s="1">
        <f>H14</f>
        <v>0</v>
      </c>
      <c r="AI3" s="156">
        <f>H15</f>
        <v>228</v>
      </c>
      <c r="AJ3" s="156">
        <f>H25</f>
        <v>206719</v>
      </c>
      <c r="AK3" s="157">
        <f>H26</f>
        <v>0.953</v>
      </c>
      <c r="AL3" s="158">
        <f>H27</f>
        <v>1.4</v>
      </c>
      <c r="AM3" s="158">
        <f>H28</f>
        <v>97.4</v>
      </c>
      <c r="AN3" s="158">
        <f>H29</f>
        <v>62.6</v>
      </c>
      <c r="AO3" s="158">
        <f>H33</f>
        <v>231.8</v>
      </c>
      <c r="AP3" s="156">
        <f>H16</f>
        <v>14483</v>
      </c>
      <c r="AQ3" s="156">
        <f>H17</f>
        <v>88226</v>
      </c>
      <c r="AR3" s="156">
        <f>H18</f>
        <v>723896</v>
      </c>
      <c r="AS3" s="159">
        <f>H21</f>
        <v>3.93923036654386</v>
      </c>
    </row>
    <row r="4" spans="1:44" ht="13.5">
      <c r="A4" s="21" t="s">
        <v>153</v>
      </c>
      <c r="AP4" s="156"/>
      <c r="AQ4" s="156"/>
      <c r="AR4" s="156"/>
    </row>
    <row r="5" ht="13.5">
      <c r="I5" s="160" t="s">
        <v>154</v>
      </c>
    </row>
    <row r="6" spans="1:9" s="147" customFormat="1" ht="29.25" customHeight="1">
      <c r="A6" s="161" t="s">
        <v>155</v>
      </c>
      <c r="B6" s="162"/>
      <c r="C6" s="162"/>
      <c r="D6" s="163"/>
      <c r="E6" s="138" t="s">
        <v>271</v>
      </c>
      <c r="F6" s="138" t="s">
        <v>272</v>
      </c>
      <c r="G6" s="138" t="s">
        <v>273</v>
      </c>
      <c r="H6" s="138" t="s">
        <v>274</v>
      </c>
      <c r="I6" s="138" t="s">
        <v>283</v>
      </c>
    </row>
    <row r="7" spans="1:9" ht="27" customHeight="1">
      <c r="A7" s="386" t="s">
        <v>156</v>
      </c>
      <c r="B7" s="47" t="s">
        <v>157</v>
      </c>
      <c r="C7" s="48"/>
      <c r="D7" s="92" t="s">
        <v>158</v>
      </c>
      <c r="E7" s="261">
        <v>370883</v>
      </c>
      <c r="F7" s="261">
        <v>371677</v>
      </c>
      <c r="G7" s="164">
        <f>ROUND(366466835/1000,0)</f>
        <v>366467</v>
      </c>
      <c r="H7" s="164">
        <f>ROUND(381230813/1000,0)</f>
        <v>381231</v>
      </c>
      <c r="I7" s="301">
        <f>ROUND(394265731/1000,0)</f>
        <v>394266</v>
      </c>
    </row>
    <row r="8" spans="1:9" ht="27" customHeight="1">
      <c r="A8" s="387"/>
      <c r="B8" s="26"/>
      <c r="C8" s="61" t="s">
        <v>159</v>
      </c>
      <c r="D8" s="93" t="s">
        <v>38</v>
      </c>
      <c r="E8" s="262">
        <f>170415+2939+357+9145+859+4652+1613+14606</f>
        <v>204586</v>
      </c>
      <c r="F8" s="165">
        <f>168968+2731+308+9243+755+5009+626+8499</f>
        <v>196139</v>
      </c>
      <c r="G8" s="263">
        <v>199121</v>
      </c>
      <c r="H8" s="264">
        <v>202486</v>
      </c>
      <c r="I8" s="264">
        <v>212713</v>
      </c>
    </row>
    <row r="9" spans="1:9" ht="27" customHeight="1">
      <c r="A9" s="387"/>
      <c r="B9" s="52" t="s">
        <v>160</v>
      </c>
      <c r="C9" s="53"/>
      <c r="D9" s="94"/>
      <c r="E9" s="265">
        <v>367678</v>
      </c>
      <c r="F9" s="167">
        <v>369781</v>
      </c>
      <c r="G9" s="266">
        <f>ROUND(363314502/1000,0)</f>
        <v>363315</v>
      </c>
      <c r="H9" s="266">
        <f>ROUND(377952271/1000,0)</f>
        <v>377952</v>
      </c>
      <c r="I9" s="278">
        <f>ROUND(386678840/1000,0)</f>
        <v>386679</v>
      </c>
    </row>
    <row r="10" spans="1:9" ht="27" customHeight="1">
      <c r="A10" s="387"/>
      <c r="B10" s="52" t="s">
        <v>161</v>
      </c>
      <c r="C10" s="53"/>
      <c r="D10" s="94"/>
      <c r="E10" s="265">
        <v>3205</v>
      </c>
      <c r="F10" s="267">
        <v>1897</v>
      </c>
      <c r="G10" s="266">
        <f>ROUND((366466835-363314502)/1000,0)</f>
        <v>3152</v>
      </c>
      <c r="H10" s="266">
        <f>ROUND(3278542/1000,0)</f>
        <v>3279</v>
      </c>
      <c r="I10" s="278">
        <f>ROUND(7586891/1000,0)</f>
        <v>7587</v>
      </c>
    </row>
    <row r="11" spans="1:9" ht="27" customHeight="1">
      <c r="A11" s="387"/>
      <c r="B11" s="52" t="s">
        <v>162</v>
      </c>
      <c r="C11" s="53"/>
      <c r="D11" s="94"/>
      <c r="E11" s="265">
        <v>2065</v>
      </c>
      <c r="F11" s="167">
        <v>872</v>
      </c>
      <c r="G11" s="266">
        <f>ROUND(427179/1000,0)</f>
        <v>427</v>
      </c>
      <c r="H11" s="266">
        <f>ROUND(307293/1000,0)</f>
        <v>307</v>
      </c>
      <c r="I11" s="278">
        <f>ROUND(3046364/1000,0)</f>
        <v>3046</v>
      </c>
    </row>
    <row r="12" spans="1:9" ht="27" customHeight="1">
      <c r="A12" s="387"/>
      <c r="B12" s="52" t="s">
        <v>163</v>
      </c>
      <c r="C12" s="53"/>
      <c r="D12" s="94"/>
      <c r="E12" s="265">
        <v>1140</v>
      </c>
      <c r="F12" s="167">
        <v>1025</v>
      </c>
      <c r="G12" s="266">
        <f>ROUND(2725154/1000,0)</f>
        <v>2725</v>
      </c>
      <c r="H12" s="266">
        <f>ROUND(2971249/1000,0)</f>
        <v>2971</v>
      </c>
      <c r="I12" s="278">
        <f>ROUND(4540527/1000,0)</f>
        <v>4541</v>
      </c>
    </row>
    <row r="13" spans="1:9" ht="27" customHeight="1">
      <c r="A13" s="387"/>
      <c r="B13" s="52" t="s">
        <v>164</v>
      </c>
      <c r="C13" s="53"/>
      <c r="D13" s="100"/>
      <c r="E13" s="268">
        <v>828</v>
      </c>
      <c r="F13" s="168">
        <v>-115</v>
      </c>
      <c r="G13" s="269">
        <f>ROUND(1700174/1000,0)</f>
        <v>1700</v>
      </c>
      <c r="H13" s="269">
        <f>ROUND(246095/1000,0)</f>
        <v>246</v>
      </c>
      <c r="I13" s="302">
        <f>ROUND(1569278/1000,0)</f>
        <v>1569</v>
      </c>
    </row>
    <row r="14" spans="1:9" ht="27" customHeight="1">
      <c r="A14" s="387"/>
      <c r="B14" s="104" t="s">
        <v>165</v>
      </c>
      <c r="C14" s="68"/>
      <c r="D14" s="100"/>
      <c r="E14" s="268">
        <v>194</v>
      </c>
      <c r="F14" s="168">
        <v>0</v>
      </c>
      <c r="G14" s="270">
        <f>ROUND(144/1000,2)</f>
        <v>0.14</v>
      </c>
      <c r="H14" s="269">
        <v>0</v>
      </c>
      <c r="I14" s="302">
        <v>0</v>
      </c>
    </row>
    <row r="15" spans="1:9" ht="27" customHeight="1">
      <c r="A15" s="387"/>
      <c r="B15" s="57" t="s">
        <v>166</v>
      </c>
      <c r="C15" s="58"/>
      <c r="D15" s="169"/>
      <c r="E15" s="271">
        <v>2090</v>
      </c>
      <c r="F15" s="171">
        <v>-201</v>
      </c>
      <c r="G15" s="272">
        <f>ROUND(3310372/1000,0)</f>
        <v>3310</v>
      </c>
      <c r="H15" s="272">
        <f>ROUND(227746/1000,0)</f>
        <v>228</v>
      </c>
      <c r="I15" s="281">
        <f>ROUND(3346463/1000,0)</f>
        <v>3346</v>
      </c>
    </row>
    <row r="16" spans="1:9" ht="27" customHeight="1">
      <c r="A16" s="387"/>
      <c r="B16" s="172" t="s">
        <v>167</v>
      </c>
      <c r="C16" s="173"/>
      <c r="D16" s="174" t="s">
        <v>39</v>
      </c>
      <c r="E16" s="273">
        <v>9478</v>
      </c>
      <c r="F16" s="274">
        <v>9710</v>
      </c>
      <c r="G16" s="275">
        <v>11375</v>
      </c>
      <c r="H16" s="276">
        <f>ROUND(14483372/1000,0)</f>
        <v>14483</v>
      </c>
      <c r="I16" s="275">
        <f>ROUND(16839189/1000,0)</f>
        <v>16839</v>
      </c>
    </row>
    <row r="17" spans="1:9" ht="27" customHeight="1">
      <c r="A17" s="387"/>
      <c r="B17" s="52" t="s">
        <v>168</v>
      </c>
      <c r="C17" s="53"/>
      <c r="D17" s="93" t="s">
        <v>40</v>
      </c>
      <c r="E17" s="265">
        <v>118997</v>
      </c>
      <c r="F17" s="277">
        <v>104757</v>
      </c>
      <c r="G17" s="278">
        <v>93848</v>
      </c>
      <c r="H17" s="266">
        <f>ROUND(88225777/1000,0)</f>
        <v>88226</v>
      </c>
      <c r="I17" s="278">
        <f>ROUND(108718389/1000,0)</f>
        <v>108718</v>
      </c>
    </row>
    <row r="18" spans="1:9" ht="27" customHeight="1">
      <c r="A18" s="387"/>
      <c r="B18" s="52" t="s">
        <v>169</v>
      </c>
      <c r="C18" s="53"/>
      <c r="D18" s="93" t="s">
        <v>41</v>
      </c>
      <c r="E18" s="265">
        <v>742466</v>
      </c>
      <c r="F18" s="167">
        <v>736919</v>
      </c>
      <c r="G18" s="278">
        <v>731340</v>
      </c>
      <c r="H18" s="266">
        <f>ROUND(723896263/1000,0)</f>
        <v>723896</v>
      </c>
      <c r="I18" s="278">
        <f>ROUND(715089311/1000,0)</f>
        <v>715089</v>
      </c>
    </row>
    <row r="19" spans="1:9" ht="27" customHeight="1">
      <c r="A19" s="387"/>
      <c r="B19" s="52" t="s">
        <v>170</v>
      </c>
      <c r="C19" s="53"/>
      <c r="D19" s="93" t="s">
        <v>171</v>
      </c>
      <c r="E19" s="166">
        <f>E17+E18-E16</f>
        <v>851985</v>
      </c>
      <c r="F19" s="166">
        <f>F17+F18-F16</f>
        <v>831966</v>
      </c>
      <c r="G19" s="279">
        <f>G17+G18-G16</f>
        <v>813813</v>
      </c>
      <c r="H19" s="166">
        <f>H17+H18-H16</f>
        <v>797639</v>
      </c>
      <c r="I19" s="279">
        <f>I17+I18-I16</f>
        <v>806968</v>
      </c>
    </row>
    <row r="20" spans="1:9" ht="27" customHeight="1">
      <c r="A20" s="387"/>
      <c r="B20" s="52" t="s">
        <v>172</v>
      </c>
      <c r="C20" s="53"/>
      <c r="D20" s="94" t="s">
        <v>173</v>
      </c>
      <c r="E20" s="175">
        <f>E18/E8</f>
        <v>3.629114406655392</v>
      </c>
      <c r="F20" s="175">
        <f>F18/F8</f>
        <v>3.757126323678616</v>
      </c>
      <c r="G20" s="280">
        <f>G18/G8</f>
        <v>3.6728421412106207</v>
      </c>
      <c r="H20" s="175">
        <f>H18/H8</f>
        <v>3.575042225141491</v>
      </c>
      <c r="I20" s="280">
        <f>I18/I8</f>
        <v>3.3617550408296624</v>
      </c>
    </row>
    <row r="21" spans="1:9" ht="27" customHeight="1">
      <c r="A21" s="387"/>
      <c r="B21" s="52" t="s">
        <v>174</v>
      </c>
      <c r="C21" s="53"/>
      <c r="D21" s="94" t="s">
        <v>175</v>
      </c>
      <c r="E21" s="175">
        <f>E19/E8</f>
        <v>4.164434516535834</v>
      </c>
      <c r="F21" s="175">
        <f>F19/F8</f>
        <v>4.241716333824481</v>
      </c>
      <c r="G21" s="280">
        <f>G19/G8</f>
        <v>4.087027485800092</v>
      </c>
      <c r="H21" s="175">
        <f>H19/H8</f>
        <v>3.93923036654386</v>
      </c>
      <c r="I21" s="280">
        <f>I19/I8</f>
        <v>3.7936938503993645</v>
      </c>
    </row>
    <row r="22" spans="1:9" ht="27" customHeight="1">
      <c r="A22" s="387"/>
      <c r="B22" s="52" t="s">
        <v>176</v>
      </c>
      <c r="C22" s="53"/>
      <c r="D22" s="94" t="s">
        <v>177</v>
      </c>
      <c r="E22" s="166">
        <f>E18/E24*1000000</f>
        <v>771995.6038425826</v>
      </c>
      <c r="F22" s="166">
        <f>F18/F24*1000000</f>
        <v>766227.9867200278</v>
      </c>
      <c r="G22" s="279">
        <f>G18/G24*1000000</f>
        <v>760427.0968828666</v>
      </c>
      <c r="H22" s="166">
        <f>H18/H24*1000000</f>
        <v>752687.0316475504</v>
      </c>
      <c r="I22" s="279">
        <f>I18/I24*1000000</f>
        <v>735777.5943993201</v>
      </c>
    </row>
    <row r="23" spans="1:9" ht="27" customHeight="1">
      <c r="A23" s="387"/>
      <c r="B23" s="52" t="s">
        <v>178</v>
      </c>
      <c r="C23" s="53"/>
      <c r="D23" s="94" t="s">
        <v>179</v>
      </c>
      <c r="E23" s="166">
        <f>E19/E24*1000000</f>
        <v>885870.4298106886</v>
      </c>
      <c r="F23" s="166">
        <f>F19/F24*1000000</f>
        <v>865055.227507385</v>
      </c>
      <c r="G23" s="279">
        <f>G19/G24*1000000</f>
        <v>846180.2403745676</v>
      </c>
      <c r="H23" s="166">
        <f>H19/H24*1000000</f>
        <v>829362.9626856903</v>
      </c>
      <c r="I23" s="279">
        <f>I19/I24*1000000</f>
        <v>830314.7913018247</v>
      </c>
    </row>
    <row r="24" spans="1:9" ht="27" customHeight="1">
      <c r="A24" s="387"/>
      <c r="B24" s="176" t="s">
        <v>180</v>
      </c>
      <c r="C24" s="177"/>
      <c r="D24" s="178" t="s">
        <v>181</v>
      </c>
      <c r="E24" s="271">
        <v>961749</v>
      </c>
      <c r="F24" s="170">
        <f>E24</f>
        <v>961749</v>
      </c>
      <c r="G24" s="281">
        <f>F24</f>
        <v>961749</v>
      </c>
      <c r="H24" s="272">
        <f>G24</f>
        <v>961749</v>
      </c>
      <c r="I24" s="303">
        <v>971882</v>
      </c>
    </row>
    <row r="25" spans="1:9" ht="27" customHeight="1">
      <c r="A25" s="387"/>
      <c r="B25" s="11" t="s">
        <v>182</v>
      </c>
      <c r="C25" s="179"/>
      <c r="D25" s="180"/>
      <c r="E25" s="262">
        <v>204299</v>
      </c>
      <c r="F25" s="181">
        <v>202328</v>
      </c>
      <c r="G25" s="282">
        <v>205818</v>
      </c>
      <c r="H25" s="283">
        <v>206719</v>
      </c>
      <c r="I25" s="304">
        <v>210635</v>
      </c>
    </row>
    <row r="26" spans="1:9" ht="27" customHeight="1">
      <c r="A26" s="387"/>
      <c r="B26" s="182" t="s">
        <v>183</v>
      </c>
      <c r="C26" s="183"/>
      <c r="D26" s="184"/>
      <c r="E26" s="284">
        <v>0.969</v>
      </c>
      <c r="F26" s="285">
        <v>0.951</v>
      </c>
      <c r="G26" s="286">
        <v>0.946</v>
      </c>
      <c r="H26" s="287">
        <v>0.953</v>
      </c>
      <c r="I26" s="285">
        <v>0.954</v>
      </c>
    </row>
    <row r="27" spans="1:9" ht="27" customHeight="1">
      <c r="A27" s="387"/>
      <c r="B27" s="182" t="s">
        <v>184</v>
      </c>
      <c r="C27" s="183"/>
      <c r="D27" s="184"/>
      <c r="E27" s="288">
        <v>0.6</v>
      </c>
      <c r="F27" s="289">
        <v>0.5</v>
      </c>
      <c r="G27" s="290">
        <v>1.3</v>
      </c>
      <c r="H27" s="291">
        <v>1.4</v>
      </c>
      <c r="I27" s="289">
        <v>2.2</v>
      </c>
    </row>
    <row r="28" spans="1:9" ht="27" customHeight="1">
      <c r="A28" s="387"/>
      <c r="B28" s="182" t="s">
        <v>185</v>
      </c>
      <c r="C28" s="183"/>
      <c r="D28" s="184"/>
      <c r="E28" s="288">
        <v>96.3</v>
      </c>
      <c r="F28" s="289">
        <v>97.5</v>
      </c>
      <c r="G28" s="290">
        <v>95.5</v>
      </c>
      <c r="H28" s="291">
        <v>97.4</v>
      </c>
      <c r="I28" s="289">
        <v>95.7</v>
      </c>
    </row>
    <row r="29" spans="1:9" ht="27" customHeight="1">
      <c r="A29" s="387"/>
      <c r="B29" s="186" t="s">
        <v>186</v>
      </c>
      <c r="C29" s="187"/>
      <c r="D29" s="188"/>
      <c r="E29" s="292">
        <v>62.6</v>
      </c>
      <c r="F29" s="190">
        <v>63</v>
      </c>
      <c r="G29" s="293">
        <v>63</v>
      </c>
      <c r="H29" s="293">
        <v>62.6</v>
      </c>
      <c r="I29" s="190">
        <v>60.5</v>
      </c>
    </row>
    <row r="30" spans="1:9" ht="27" customHeight="1">
      <c r="A30" s="387"/>
      <c r="B30" s="386" t="s">
        <v>187</v>
      </c>
      <c r="C30" s="20" t="s">
        <v>188</v>
      </c>
      <c r="D30" s="189"/>
      <c r="E30" s="294">
        <v>0</v>
      </c>
      <c r="F30" s="294">
        <v>0</v>
      </c>
      <c r="G30" s="295">
        <v>0</v>
      </c>
      <c r="H30" s="296">
        <v>0</v>
      </c>
      <c r="I30" s="295">
        <v>0</v>
      </c>
    </row>
    <row r="31" spans="1:9" ht="27" customHeight="1">
      <c r="A31" s="387"/>
      <c r="B31" s="387"/>
      <c r="C31" s="182" t="s">
        <v>189</v>
      </c>
      <c r="D31" s="184"/>
      <c r="E31" s="288">
        <v>2.43</v>
      </c>
      <c r="F31" s="185">
        <v>2.6</v>
      </c>
      <c r="G31" s="290">
        <v>0.83</v>
      </c>
      <c r="H31" s="291">
        <v>0</v>
      </c>
      <c r="I31" s="290">
        <v>0</v>
      </c>
    </row>
    <row r="32" spans="1:9" ht="27" customHeight="1">
      <c r="A32" s="387"/>
      <c r="B32" s="387"/>
      <c r="C32" s="182" t="s">
        <v>190</v>
      </c>
      <c r="D32" s="184"/>
      <c r="E32" s="288">
        <v>20.5</v>
      </c>
      <c r="F32" s="185">
        <v>19.5</v>
      </c>
      <c r="G32" s="290">
        <v>18.4</v>
      </c>
      <c r="H32" s="291">
        <v>18.4</v>
      </c>
      <c r="I32" s="289">
        <v>18</v>
      </c>
    </row>
    <row r="33" spans="1:9" ht="27" customHeight="1">
      <c r="A33" s="388"/>
      <c r="B33" s="388"/>
      <c r="C33" s="186" t="s">
        <v>191</v>
      </c>
      <c r="D33" s="188"/>
      <c r="E33" s="292">
        <v>268.5</v>
      </c>
      <c r="F33" s="190">
        <v>261.1</v>
      </c>
      <c r="G33" s="293">
        <v>248</v>
      </c>
      <c r="H33" s="293">
        <v>231.8</v>
      </c>
      <c r="I33" s="190">
        <v>208.7</v>
      </c>
    </row>
    <row r="34" spans="1:9" ht="27" customHeight="1">
      <c r="A34" s="1" t="s">
        <v>282</v>
      </c>
      <c r="B34" s="14"/>
      <c r="C34" s="14"/>
      <c r="D34" s="14"/>
      <c r="E34" s="191"/>
      <c r="F34" s="191"/>
      <c r="G34" s="191"/>
      <c r="H34" s="191"/>
      <c r="I34" s="192"/>
    </row>
    <row r="35" ht="27" customHeight="1">
      <c r="A35" s="27" t="s">
        <v>192</v>
      </c>
    </row>
    <row r="36" ht="13.5">
      <c r="A36" s="193"/>
    </row>
  </sheetData>
  <sheetProtection/>
  <mergeCells count="2">
    <mergeCell ref="A7:A33"/>
    <mergeCell ref="B30:B33"/>
  </mergeCells>
  <printOptions/>
  <pageMargins left="0.31496062992125984" right="0.1968503937007874" top="0.984251968503937" bottom="0.984251968503937" header="0.5118110236220472" footer="0.5118110236220472"/>
  <pageSetup firstPageNumber="2" useFirstPageNumber="1" horizontalDpi="300" verticalDpi="300" orientation="portrait" paperSize="9" scale="85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SheetLayoutView="70" zoomScalePageLayoutView="0" workbookViewId="0" topLeftCell="A1">
      <pane xSplit="5" ySplit="7" topLeftCell="F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I51" sqref="I51"/>
    </sheetView>
  </sheetViews>
  <sheetFormatPr defaultColWidth="8.796875" defaultRowHeight="14.25"/>
  <cols>
    <col min="1" max="1" width="3.59765625" style="1" customWidth="1"/>
    <col min="2" max="3" width="1.59765625" style="1" customWidth="1"/>
    <col min="4" max="4" width="22.59765625" style="1" customWidth="1"/>
    <col min="5" max="5" width="10.59765625" style="1" customWidth="1"/>
    <col min="6" max="11" width="13.59765625" style="1" customWidth="1"/>
    <col min="12" max="12" width="13.59765625" style="14" customWidth="1"/>
    <col min="13" max="21" width="13.59765625" style="1" customWidth="1"/>
    <col min="22" max="25" width="12" style="1" customWidth="1"/>
    <col min="26" max="16384" width="9" style="1" customWidth="1"/>
  </cols>
  <sheetData>
    <row r="1" spans="1:7" ht="33.75" customHeight="1">
      <c r="A1" s="70" t="s">
        <v>0</v>
      </c>
      <c r="B1" s="42"/>
      <c r="C1" s="42"/>
      <c r="D1" s="99" t="s">
        <v>301</v>
      </c>
      <c r="E1" s="44"/>
      <c r="F1" s="44"/>
      <c r="G1" s="44"/>
    </row>
    <row r="2" ht="15" customHeight="1"/>
    <row r="3" spans="1:4" ht="15" customHeight="1">
      <c r="A3" s="45" t="s">
        <v>193</v>
      </c>
      <c r="B3" s="45"/>
      <c r="C3" s="45"/>
      <c r="D3" s="45"/>
    </row>
    <row r="4" spans="1:4" ht="15" customHeight="1">
      <c r="A4" s="45"/>
      <c r="B4" s="45"/>
      <c r="C4" s="45"/>
      <c r="D4" s="45"/>
    </row>
    <row r="5" spans="1:15" ht="15.75" customHeight="1">
      <c r="A5" s="37" t="s">
        <v>284</v>
      </c>
      <c r="B5" s="37"/>
      <c r="C5" s="37"/>
      <c r="D5" s="37"/>
      <c r="K5" s="46"/>
      <c r="O5" s="46" t="s">
        <v>44</v>
      </c>
    </row>
    <row r="6" spans="1:15" ht="15.75" customHeight="1">
      <c r="A6" s="423" t="s">
        <v>45</v>
      </c>
      <c r="B6" s="424"/>
      <c r="C6" s="424"/>
      <c r="D6" s="424"/>
      <c r="E6" s="425"/>
      <c r="F6" s="431" t="s">
        <v>289</v>
      </c>
      <c r="G6" s="432"/>
      <c r="H6" s="431" t="s">
        <v>290</v>
      </c>
      <c r="I6" s="432"/>
      <c r="J6" s="431" t="s">
        <v>291</v>
      </c>
      <c r="K6" s="432"/>
      <c r="L6" s="416"/>
      <c r="M6" s="417"/>
      <c r="N6" s="416"/>
      <c r="O6" s="417"/>
    </row>
    <row r="7" spans="1:15" ht="15.75" customHeight="1">
      <c r="A7" s="426"/>
      <c r="B7" s="427"/>
      <c r="C7" s="427"/>
      <c r="D7" s="427"/>
      <c r="E7" s="428"/>
      <c r="F7" s="146" t="s">
        <v>286</v>
      </c>
      <c r="G7" s="51" t="s">
        <v>1</v>
      </c>
      <c r="H7" s="146" t="s">
        <v>285</v>
      </c>
      <c r="I7" s="51" t="s">
        <v>1</v>
      </c>
      <c r="J7" s="146" t="s">
        <v>285</v>
      </c>
      <c r="K7" s="51" t="s">
        <v>1</v>
      </c>
      <c r="L7" s="146" t="s">
        <v>285</v>
      </c>
      <c r="M7" s="51" t="s">
        <v>1</v>
      </c>
      <c r="N7" s="146" t="s">
        <v>285</v>
      </c>
      <c r="O7" s="245" t="s">
        <v>1</v>
      </c>
    </row>
    <row r="8" spans="1:25" ht="15.75" customHeight="1">
      <c r="A8" s="408" t="s">
        <v>84</v>
      </c>
      <c r="B8" s="47" t="s">
        <v>46</v>
      </c>
      <c r="C8" s="48"/>
      <c r="D8" s="48"/>
      <c r="E8" s="92" t="s">
        <v>37</v>
      </c>
      <c r="F8" s="322">
        <f>2071529679/1000000</f>
        <v>2071.529679</v>
      </c>
      <c r="G8" s="323">
        <f>2026925351/1000000</f>
        <v>2026.925351</v>
      </c>
      <c r="H8" s="322">
        <f>20508806/1000</f>
        <v>20508.806</v>
      </c>
      <c r="I8" s="247">
        <f>18396879/1000</f>
        <v>18396.879</v>
      </c>
      <c r="J8" s="322">
        <f>29182277/1000</f>
        <v>29182.277</v>
      </c>
      <c r="K8" s="323">
        <v>29450.835</v>
      </c>
      <c r="L8" s="105"/>
      <c r="M8" s="106"/>
      <c r="N8" s="105"/>
      <c r="O8" s="107"/>
      <c r="P8" s="71"/>
      <c r="Q8" s="71"/>
      <c r="R8" s="71"/>
      <c r="S8" s="71"/>
      <c r="T8" s="71"/>
      <c r="U8" s="71"/>
      <c r="V8" s="71"/>
      <c r="W8" s="71"/>
      <c r="X8" s="71"/>
      <c r="Y8" s="71"/>
    </row>
    <row r="9" spans="1:25" ht="15.75" customHeight="1">
      <c r="A9" s="414"/>
      <c r="B9" s="14"/>
      <c r="C9" s="61" t="s">
        <v>47</v>
      </c>
      <c r="D9" s="53"/>
      <c r="E9" s="93" t="s">
        <v>38</v>
      </c>
      <c r="F9" s="307">
        <f>2071275679/1000000</f>
        <v>2071.275679</v>
      </c>
      <c r="G9" s="317">
        <f>2026925351/1000000</f>
        <v>2026.925351</v>
      </c>
      <c r="H9" s="307">
        <f>(15231971+4426923)/1000</f>
        <v>19658.894</v>
      </c>
      <c r="I9" s="248">
        <f>(8233467+1860625+7373980+877924)/1000</f>
        <v>18345.996</v>
      </c>
      <c r="J9" s="307">
        <f>(21488398+7601586)/1000</f>
        <v>29089.984</v>
      </c>
      <c r="K9" s="317">
        <v>29379.371</v>
      </c>
      <c r="L9" s="108"/>
      <c r="M9" s="109"/>
      <c r="N9" s="108"/>
      <c r="O9" s="110"/>
      <c r="P9" s="71"/>
      <c r="Q9" s="71"/>
      <c r="R9" s="71"/>
      <c r="S9" s="71"/>
      <c r="T9" s="71"/>
      <c r="U9" s="71"/>
      <c r="V9" s="71"/>
      <c r="W9" s="71"/>
      <c r="X9" s="71"/>
      <c r="Y9" s="71"/>
    </row>
    <row r="10" spans="1:25" ht="15.75" customHeight="1">
      <c r="A10" s="414"/>
      <c r="B10" s="11"/>
      <c r="C10" s="61" t="s">
        <v>48</v>
      </c>
      <c r="D10" s="53"/>
      <c r="E10" s="93" t="s">
        <v>39</v>
      </c>
      <c r="F10" s="307">
        <f>254000/1000000</f>
        <v>0.254</v>
      </c>
      <c r="G10" s="317">
        <f>0</f>
        <v>0</v>
      </c>
      <c r="H10" s="307">
        <f>849912/1000</f>
        <v>849.912</v>
      </c>
      <c r="I10" s="248">
        <f>(48092+2791)/1000</f>
        <v>50.883</v>
      </c>
      <c r="J10" s="361">
        <f>92293/1000</f>
        <v>92.293</v>
      </c>
      <c r="K10" s="361">
        <v>71.463</v>
      </c>
      <c r="L10" s="108"/>
      <c r="M10" s="109"/>
      <c r="N10" s="108"/>
      <c r="O10" s="110"/>
      <c r="P10" s="71"/>
      <c r="Q10" s="71"/>
      <c r="R10" s="71"/>
      <c r="S10" s="71"/>
      <c r="T10" s="71"/>
      <c r="U10" s="71"/>
      <c r="V10" s="71"/>
      <c r="W10" s="71"/>
      <c r="X10" s="71"/>
      <c r="Y10" s="71"/>
    </row>
    <row r="11" spans="1:25" ht="15.75" customHeight="1">
      <c r="A11" s="414"/>
      <c r="B11" s="66" t="s">
        <v>49</v>
      </c>
      <c r="C11" s="67"/>
      <c r="D11" s="67"/>
      <c r="E11" s="95" t="s">
        <v>40</v>
      </c>
      <c r="F11" s="308">
        <f>2071529679/1000000</f>
        <v>2071.529679</v>
      </c>
      <c r="G11" s="315">
        <f>2026925351/1000000</f>
        <v>2026.925351</v>
      </c>
      <c r="H11" s="308">
        <f>20877051/1000</f>
        <v>20877.051</v>
      </c>
      <c r="I11" s="112">
        <f>(11172238+9061310)/1000</f>
        <v>20233.548</v>
      </c>
      <c r="J11" s="308">
        <f>27568960/1000</f>
        <v>27568.96</v>
      </c>
      <c r="K11" s="315">
        <v>28272.079</v>
      </c>
      <c r="L11" s="112"/>
      <c r="M11" s="113"/>
      <c r="N11" s="112"/>
      <c r="O11" s="114"/>
      <c r="P11" s="71"/>
      <c r="Q11" s="71"/>
      <c r="R11" s="71"/>
      <c r="S11" s="71"/>
      <c r="T11" s="71"/>
      <c r="U11" s="71"/>
      <c r="V11" s="71"/>
      <c r="W11" s="71"/>
      <c r="X11" s="71"/>
      <c r="Y11" s="71"/>
    </row>
    <row r="12" spans="1:25" ht="15.75" customHeight="1">
      <c r="A12" s="414"/>
      <c r="B12" s="8"/>
      <c r="C12" s="61" t="s">
        <v>50</v>
      </c>
      <c r="D12" s="53"/>
      <c r="E12" s="93" t="s">
        <v>41</v>
      </c>
      <c r="F12" s="307">
        <f>2071178738/1000000</f>
        <v>2071.178738</v>
      </c>
      <c r="G12" s="317">
        <f>2013408230/1000000</f>
        <v>2013.40823</v>
      </c>
      <c r="H12" s="308">
        <f>(18962223+1201479)/1000</f>
        <v>20163.702</v>
      </c>
      <c r="I12" s="249">
        <f>(9968696+705377+8275812+265643)/1000</f>
        <v>19215.528</v>
      </c>
      <c r="J12" s="308">
        <f>(22537254+5026264)/1000</f>
        <v>27563.518</v>
      </c>
      <c r="K12" s="315">
        <v>27958.721</v>
      </c>
      <c r="L12" s="108"/>
      <c r="M12" s="109"/>
      <c r="N12" s="108"/>
      <c r="O12" s="110"/>
      <c r="P12" s="71"/>
      <c r="Q12" s="71"/>
      <c r="R12" s="71"/>
      <c r="S12" s="71"/>
      <c r="T12" s="71"/>
      <c r="U12" s="71"/>
      <c r="V12" s="71"/>
      <c r="W12" s="71"/>
      <c r="X12" s="71"/>
      <c r="Y12" s="71"/>
    </row>
    <row r="13" spans="1:25" ht="15.75" customHeight="1">
      <c r="A13" s="414"/>
      <c r="B13" s="14"/>
      <c r="C13" s="50" t="s">
        <v>51</v>
      </c>
      <c r="D13" s="68"/>
      <c r="E13" s="96" t="s">
        <v>42</v>
      </c>
      <c r="F13" s="306">
        <f>350941/1000000</f>
        <v>0.350941</v>
      </c>
      <c r="G13" s="321">
        <f>13517121/1000000</f>
        <v>13.517121</v>
      </c>
      <c r="H13" s="361">
        <f>713350/1000</f>
        <v>713.35</v>
      </c>
      <c r="I13" s="111">
        <f>(498165+519855)/1000</f>
        <v>1018.02</v>
      </c>
      <c r="J13" s="361">
        <f>5442/1000</f>
        <v>5.442</v>
      </c>
      <c r="K13" s="361">
        <v>313.359</v>
      </c>
      <c r="L13" s="115"/>
      <c r="M13" s="116"/>
      <c r="N13" s="115"/>
      <c r="O13" s="117"/>
      <c r="P13" s="71"/>
      <c r="Q13" s="71"/>
      <c r="R13" s="71"/>
      <c r="S13" s="71"/>
      <c r="T13" s="71"/>
      <c r="U13" s="71"/>
      <c r="V13" s="71"/>
      <c r="W13" s="71"/>
      <c r="X13" s="71"/>
      <c r="Y13" s="71"/>
    </row>
    <row r="14" spans="1:25" ht="15.75" customHeight="1">
      <c r="A14" s="414"/>
      <c r="B14" s="52" t="s">
        <v>52</v>
      </c>
      <c r="C14" s="53"/>
      <c r="D14" s="53"/>
      <c r="E14" s="93" t="s">
        <v>194</v>
      </c>
      <c r="F14" s="309">
        <f>F9-F12</f>
        <v>0.09694099999978789</v>
      </c>
      <c r="G14" s="325">
        <f>G9-G12</f>
        <v>13.517121000000088</v>
      </c>
      <c r="H14" s="309">
        <f aca="true" t="shared" si="0" ref="H14:K15">H9-H12</f>
        <v>-504.8080000000009</v>
      </c>
      <c r="I14" s="250">
        <f t="shared" si="0"/>
        <v>-869.5319999999992</v>
      </c>
      <c r="J14" s="309">
        <f t="shared" si="0"/>
        <v>1526.4660000000003</v>
      </c>
      <c r="K14" s="325">
        <f t="shared" si="0"/>
        <v>1420.6499999999978</v>
      </c>
      <c r="L14" s="135">
        <f aca="true" t="shared" si="1" ref="L14:O15">L9-L12</f>
        <v>0</v>
      </c>
      <c r="M14" s="129">
        <f t="shared" si="1"/>
        <v>0</v>
      </c>
      <c r="N14" s="135">
        <f t="shared" si="1"/>
        <v>0</v>
      </c>
      <c r="O14" s="129">
        <f t="shared" si="1"/>
        <v>0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</row>
    <row r="15" spans="1:25" ht="15.75" customHeight="1">
      <c r="A15" s="414"/>
      <c r="B15" s="52" t="s">
        <v>53</v>
      </c>
      <c r="C15" s="53"/>
      <c r="D15" s="53"/>
      <c r="E15" s="93" t="s">
        <v>195</v>
      </c>
      <c r="F15" s="309">
        <f>F10-F13</f>
        <v>-0.096941</v>
      </c>
      <c r="G15" s="325">
        <f>G10-G13</f>
        <v>-13.517121</v>
      </c>
      <c r="H15" s="309">
        <f t="shared" si="0"/>
        <v>136.562</v>
      </c>
      <c r="I15" s="250">
        <f t="shared" si="0"/>
        <v>-967.137</v>
      </c>
      <c r="J15" s="309">
        <f t="shared" si="0"/>
        <v>86.851</v>
      </c>
      <c r="K15" s="325">
        <f t="shared" si="0"/>
        <v>-241.896</v>
      </c>
      <c r="L15" s="135">
        <f t="shared" si="1"/>
        <v>0</v>
      </c>
      <c r="M15" s="129">
        <f t="shared" si="1"/>
        <v>0</v>
      </c>
      <c r="N15" s="135">
        <f t="shared" si="1"/>
        <v>0</v>
      </c>
      <c r="O15" s="129">
        <f t="shared" si="1"/>
        <v>0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15.75" customHeight="1">
      <c r="A16" s="414"/>
      <c r="B16" s="52" t="s">
        <v>54</v>
      </c>
      <c r="C16" s="53"/>
      <c r="D16" s="53"/>
      <c r="E16" s="93" t="s">
        <v>196</v>
      </c>
      <c r="F16" s="309">
        <f aca="true" t="shared" si="2" ref="F16:K16">F8-F11</f>
        <v>0</v>
      </c>
      <c r="G16" s="325">
        <f t="shared" si="2"/>
        <v>0</v>
      </c>
      <c r="H16" s="309">
        <f t="shared" si="2"/>
        <v>-368.244999999999</v>
      </c>
      <c r="I16" s="250">
        <f t="shared" si="2"/>
        <v>-1836.668999999998</v>
      </c>
      <c r="J16" s="309">
        <f t="shared" si="2"/>
        <v>1613.316999999999</v>
      </c>
      <c r="K16" s="325">
        <f t="shared" si="2"/>
        <v>1178.7559999999976</v>
      </c>
      <c r="L16" s="135">
        <f>L8-L11</f>
        <v>0</v>
      </c>
      <c r="M16" s="129">
        <f>M8-M11</f>
        <v>0</v>
      </c>
      <c r="N16" s="135">
        <f>N8-N11</f>
        <v>0</v>
      </c>
      <c r="O16" s="129">
        <f>O8-O11</f>
        <v>0</v>
      </c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15.75" customHeight="1">
      <c r="A17" s="414"/>
      <c r="B17" s="52" t="s">
        <v>55</v>
      </c>
      <c r="C17" s="53"/>
      <c r="D17" s="53"/>
      <c r="E17" s="43"/>
      <c r="F17" s="326">
        <v>0</v>
      </c>
      <c r="G17" s="331">
        <v>0</v>
      </c>
      <c r="H17" s="361">
        <f>4817343/1000</f>
        <v>4817.343</v>
      </c>
      <c r="I17" s="111">
        <f>(3032062+1417036)/1000</f>
        <v>4449.098</v>
      </c>
      <c r="J17" s="307">
        <v>0</v>
      </c>
      <c r="K17" s="317">
        <v>0</v>
      </c>
      <c r="L17" s="108"/>
      <c r="M17" s="109"/>
      <c r="N17" s="111"/>
      <c r="O17" s="118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15.75" customHeight="1">
      <c r="A18" s="415"/>
      <c r="B18" s="59" t="s">
        <v>56</v>
      </c>
      <c r="C18" s="37"/>
      <c r="D18" s="37"/>
      <c r="E18" s="15"/>
      <c r="F18" s="312">
        <v>0</v>
      </c>
      <c r="G18" s="312">
        <v>0</v>
      </c>
      <c r="H18" s="362" t="s">
        <v>308</v>
      </c>
      <c r="I18" s="254">
        <v>0</v>
      </c>
      <c r="J18" s="362">
        <v>0</v>
      </c>
      <c r="K18" s="362">
        <v>0</v>
      </c>
      <c r="L18" s="119"/>
      <c r="M18" s="120"/>
      <c r="N18" s="119"/>
      <c r="O18" s="12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15.75" customHeight="1">
      <c r="A19" s="414" t="s">
        <v>85</v>
      </c>
      <c r="B19" s="66" t="s">
        <v>57</v>
      </c>
      <c r="C19" s="69"/>
      <c r="D19" s="69"/>
      <c r="E19" s="97"/>
      <c r="F19" s="260">
        <f>868030025/1000000</f>
        <v>868.030025</v>
      </c>
      <c r="G19" s="327">
        <f>1455705075/1000000</f>
        <v>1455.705075</v>
      </c>
      <c r="H19" s="305">
        <f>3663343/1000</f>
        <v>3663.343</v>
      </c>
      <c r="I19" s="255">
        <f>(985821+398747)/1000</f>
        <v>1384.568</v>
      </c>
      <c r="J19" s="305">
        <f>13317641/1000</f>
        <v>13317.641</v>
      </c>
      <c r="K19" s="316">
        <v>13615.351</v>
      </c>
      <c r="L19" s="122"/>
      <c r="M19" s="123"/>
      <c r="N19" s="122"/>
      <c r="O19" s="124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15.75" customHeight="1">
      <c r="A20" s="414"/>
      <c r="B20" s="13"/>
      <c r="C20" s="61" t="s">
        <v>58</v>
      </c>
      <c r="D20" s="53"/>
      <c r="E20" s="93"/>
      <c r="F20" s="309">
        <f>565000000/1000000</f>
        <v>565</v>
      </c>
      <c r="G20" s="325">
        <f>1066000000/1000000</f>
        <v>1066</v>
      </c>
      <c r="H20" s="307">
        <f>2744000/1000</f>
        <v>2744</v>
      </c>
      <c r="I20" s="248">
        <f>(338000+221000)/1000</f>
        <v>559</v>
      </c>
      <c r="J20" s="307">
        <f>10254300/1000</f>
        <v>10254.3</v>
      </c>
      <c r="K20" s="317">
        <v>10059.8</v>
      </c>
      <c r="L20" s="108"/>
      <c r="M20" s="109"/>
      <c r="N20" s="108"/>
      <c r="O20" s="110"/>
      <c r="P20" s="71"/>
      <c r="Q20" s="71"/>
      <c r="R20" s="71"/>
      <c r="S20" s="71"/>
      <c r="T20" s="71"/>
      <c r="U20" s="71"/>
      <c r="V20" s="71"/>
      <c r="W20" s="71"/>
      <c r="X20" s="71"/>
      <c r="Y20" s="71"/>
    </row>
    <row r="21" spans="1:25" ht="15.75" customHeight="1">
      <c r="A21" s="414"/>
      <c r="B21" s="26" t="s">
        <v>59</v>
      </c>
      <c r="C21" s="67"/>
      <c r="D21" s="67"/>
      <c r="E21" s="95" t="s">
        <v>197</v>
      </c>
      <c r="F21" s="328">
        <f>868030025/1000000</f>
        <v>868.030025</v>
      </c>
      <c r="G21" s="329">
        <f>1455705075/1000000</f>
        <v>1455.705075</v>
      </c>
      <c r="H21" s="308">
        <f>3663343/1000</f>
        <v>3663.343</v>
      </c>
      <c r="I21" s="249">
        <f>(985821+398747)/1000</f>
        <v>1384.568</v>
      </c>
      <c r="J21" s="308">
        <f>(13317641-154600)/1000</f>
        <v>13163.041</v>
      </c>
      <c r="K21" s="315">
        <v>13486.851</v>
      </c>
      <c r="L21" s="112"/>
      <c r="M21" s="113"/>
      <c r="N21" s="112"/>
      <c r="O21" s="114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5.75" customHeight="1">
      <c r="A22" s="414"/>
      <c r="B22" s="66" t="s">
        <v>60</v>
      </c>
      <c r="C22" s="69"/>
      <c r="D22" s="69"/>
      <c r="E22" s="97" t="s">
        <v>198</v>
      </c>
      <c r="F22" s="260">
        <f>1818103044/1000000</f>
        <v>1818.103044</v>
      </c>
      <c r="G22" s="327">
        <f>2397720251/1000000</f>
        <v>2397.720251</v>
      </c>
      <c r="H22" s="305">
        <f>4369489/1000</f>
        <v>4369.489</v>
      </c>
      <c r="I22" s="255">
        <f>(1396013+590520)/1000</f>
        <v>1986.533</v>
      </c>
      <c r="J22" s="305">
        <f>23515404/1000</f>
        <v>23515.404</v>
      </c>
      <c r="K22" s="316">
        <v>23778.22</v>
      </c>
      <c r="L22" s="122"/>
      <c r="M22" s="123"/>
      <c r="N22" s="122"/>
      <c r="O22" s="124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15.75" customHeight="1">
      <c r="A23" s="414"/>
      <c r="B23" s="8" t="s">
        <v>61</v>
      </c>
      <c r="C23" s="50" t="s">
        <v>62</v>
      </c>
      <c r="D23" s="68"/>
      <c r="E23" s="96"/>
      <c r="F23" s="330">
        <f>841560566/1000000</f>
        <v>841.560566</v>
      </c>
      <c r="G23" s="324">
        <f>777289245/1000000</f>
        <v>777.289245</v>
      </c>
      <c r="H23" s="306">
        <f>1529267/1000</f>
        <v>1529.267</v>
      </c>
      <c r="I23" s="256">
        <f>(1000818+349567)/1000</f>
        <v>1350.385</v>
      </c>
      <c r="J23" s="306">
        <f>15277340/1000</f>
        <v>15277.34</v>
      </c>
      <c r="K23" s="321">
        <v>14811.743</v>
      </c>
      <c r="L23" s="115"/>
      <c r="M23" s="116"/>
      <c r="N23" s="115"/>
      <c r="O23" s="117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15.75" customHeight="1">
      <c r="A24" s="414"/>
      <c r="B24" s="52" t="s">
        <v>199</v>
      </c>
      <c r="C24" s="53"/>
      <c r="D24" s="53"/>
      <c r="E24" s="93" t="s">
        <v>200</v>
      </c>
      <c r="F24" s="309">
        <f aca="true" t="shared" si="3" ref="F24:K24">F21-F22</f>
        <v>-950.0730189999999</v>
      </c>
      <c r="G24" s="325">
        <f t="shared" si="3"/>
        <v>-942.0151760000001</v>
      </c>
      <c r="H24" s="309">
        <f t="shared" si="3"/>
        <v>-706.1459999999997</v>
      </c>
      <c r="I24" s="250">
        <f t="shared" si="3"/>
        <v>-601.9649999999999</v>
      </c>
      <c r="J24" s="309">
        <f t="shared" si="3"/>
        <v>-10352.363</v>
      </c>
      <c r="K24" s="325">
        <f t="shared" si="3"/>
        <v>-10291.369</v>
      </c>
      <c r="L24" s="135">
        <f>L21-L22</f>
        <v>0</v>
      </c>
      <c r="M24" s="129">
        <f>M21-M22</f>
        <v>0</v>
      </c>
      <c r="N24" s="135">
        <f>N21-N22</f>
        <v>0</v>
      </c>
      <c r="O24" s="129">
        <f>O21-O22</f>
        <v>0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15.75" customHeight="1">
      <c r="A25" s="414"/>
      <c r="B25" s="104" t="s">
        <v>63</v>
      </c>
      <c r="C25" s="68"/>
      <c r="D25" s="68"/>
      <c r="E25" s="429" t="s">
        <v>201</v>
      </c>
      <c r="F25" s="413">
        <f>950073019/1000000</f>
        <v>950.073019</v>
      </c>
      <c r="G25" s="411">
        <f>942015176/1000000</f>
        <v>942.015176</v>
      </c>
      <c r="H25" s="403">
        <f>528999/1000</f>
        <v>528.999</v>
      </c>
      <c r="I25" s="436">
        <f>601965/1000</f>
        <v>601.965</v>
      </c>
      <c r="J25" s="403">
        <f>(360343+283188+8286477+786755+465500)/1000</f>
        <v>10182.263</v>
      </c>
      <c r="K25" s="405">
        <v>10136.769</v>
      </c>
      <c r="L25" s="406"/>
      <c r="M25" s="395"/>
      <c r="N25" s="406"/>
      <c r="O25" s="395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15.75" customHeight="1">
      <c r="A26" s="414"/>
      <c r="B26" s="26" t="s">
        <v>64</v>
      </c>
      <c r="C26" s="67"/>
      <c r="D26" s="67"/>
      <c r="E26" s="430"/>
      <c r="F26" s="412"/>
      <c r="G26" s="412"/>
      <c r="H26" s="404"/>
      <c r="I26" s="407"/>
      <c r="J26" s="404"/>
      <c r="K26" s="404"/>
      <c r="L26" s="407"/>
      <c r="M26" s="396"/>
      <c r="N26" s="407"/>
      <c r="O26" s="396"/>
      <c r="P26" s="71"/>
      <c r="Q26" s="71"/>
      <c r="R26" s="71"/>
      <c r="S26" s="71"/>
      <c r="T26" s="71"/>
      <c r="U26" s="71"/>
      <c r="V26" s="71"/>
      <c r="W26" s="71"/>
      <c r="X26" s="71"/>
      <c r="Y26" s="71"/>
    </row>
    <row r="27" spans="1:25" ht="15.75" customHeight="1">
      <c r="A27" s="415"/>
      <c r="B27" s="59" t="s">
        <v>202</v>
      </c>
      <c r="C27" s="37"/>
      <c r="D27" s="37"/>
      <c r="E27" s="98" t="s">
        <v>203</v>
      </c>
      <c r="F27" s="310">
        <f aca="true" t="shared" si="4" ref="F27:K27">F24+F25</f>
        <v>0</v>
      </c>
      <c r="G27" s="318">
        <f t="shared" si="4"/>
        <v>0</v>
      </c>
      <c r="H27" s="310">
        <f t="shared" si="4"/>
        <v>-177.1469999999997</v>
      </c>
      <c r="I27" s="253">
        <f t="shared" si="4"/>
        <v>0</v>
      </c>
      <c r="J27" s="310">
        <f t="shared" si="4"/>
        <v>-170.09999999999854</v>
      </c>
      <c r="K27" s="318">
        <f t="shared" si="4"/>
        <v>-154.60000000000036</v>
      </c>
      <c r="L27" s="136">
        <f>L24+L25</f>
        <v>0</v>
      </c>
      <c r="M27" s="130">
        <f>M24+M25</f>
        <v>0</v>
      </c>
      <c r="N27" s="136">
        <f>N24+N25</f>
        <v>0</v>
      </c>
      <c r="O27" s="130">
        <f>O24+O25</f>
        <v>0</v>
      </c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15.75" customHeight="1">
      <c r="A28" s="27"/>
      <c r="F28" s="71"/>
      <c r="G28" s="71"/>
      <c r="H28" s="71"/>
      <c r="I28" s="71"/>
      <c r="J28" s="71"/>
      <c r="K28" s="71"/>
      <c r="L28" s="7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15.75" customHeight="1">
      <c r="A29" s="37"/>
      <c r="F29" s="71"/>
      <c r="G29" s="71"/>
      <c r="H29" s="71"/>
      <c r="I29" s="71"/>
      <c r="J29" s="73"/>
      <c r="K29" s="73"/>
      <c r="L29" s="72"/>
      <c r="M29" s="71"/>
      <c r="N29" s="71"/>
      <c r="O29" s="73"/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3"/>
    </row>
    <row r="30" spans="1:25" ht="15.75" customHeight="1">
      <c r="A30" s="397" t="s">
        <v>65</v>
      </c>
      <c r="B30" s="398"/>
      <c r="C30" s="398"/>
      <c r="D30" s="398"/>
      <c r="E30" s="399"/>
      <c r="F30" s="434" t="s">
        <v>292</v>
      </c>
      <c r="G30" s="435"/>
      <c r="H30" s="434" t="s">
        <v>293</v>
      </c>
      <c r="I30" s="435"/>
      <c r="J30" s="434" t="s">
        <v>294</v>
      </c>
      <c r="K30" s="435"/>
      <c r="L30" s="434" t="s">
        <v>299</v>
      </c>
      <c r="M30" s="435"/>
      <c r="N30" s="434" t="s">
        <v>296</v>
      </c>
      <c r="O30" s="435"/>
      <c r="P30" s="437" t="s">
        <v>300</v>
      </c>
      <c r="Q30" s="433"/>
      <c r="R30" s="128"/>
      <c r="S30" s="72"/>
      <c r="T30" s="128"/>
      <c r="U30" s="72"/>
      <c r="V30" s="128"/>
      <c r="W30" s="72"/>
      <c r="X30" s="128"/>
      <c r="Y30" s="72"/>
    </row>
    <row r="31" spans="1:25" ht="15.75" customHeight="1">
      <c r="A31" s="400"/>
      <c r="B31" s="401"/>
      <c r="C31" s="401"/>
      <c r="D31" s="401"/>
      <c r="E31" s="402"/>
      <c r="F31" s="146" t="s">
        <v>285</v>
      </c>
      <c r="G31" s="51" t="s">
        <v>1</v>
      </c>
      <c r="H31" s="146" t="s">
        <v>285</v>
      </c>
      <c r="I31" s="51" t="s">
        <v>1</v>
      </c>
      <c r="J31" s="146" t="s">
        <v>285</v>
      </c>
      <c r="K31" s="51" t="s">
        <v>1</v>
      </c>
      <c r="L31" s="146" t="s">
        <v>285</v>
      </c>
      <c r="M31" s="51" t="s">
        <v>1</v>
      </c>
      <c r="N31" s="146" t="s">
        <v>285</v>
      </c>
      <c r="O31" s="194" t="s">
        <v>1</v>
      </c>
      <c r="P31" s="146" t="s">
        <v>285</v>
      </c>
      <c r="Q31" s="194" t="s">
        <v>1</v>
      </c>
      <c r="R31" s="126"/>
      <c r="S31" s="126"/>
      <c r="T31" s="126"/>
      <c r="U31" s="126"/>
      <c r="V31" s="126"/>
      <c r="W31" s="126"/>
      <c r="X31" s="126"/>
      <c r="Y31" s="126"/>
    </row>
    <row r="32" spans="1:25" ht="15.75" customHeight="1">
      <c r="A32" s="408" t="s">
        <v>86</v>
      </c>
      <c r="B32" s="47" t="s">
        <v>46</v>
      </c>
      <c r="C32" s="48"/>
      <c r="D32" s="48"/>
      <c r="E32" s="16" t="s">
        <v>37</v>
      </c>
      <c r="F32" s="305">
        <v>859.942</v>
      </c>
      <c r="G32" s="255">
        <v>878</v>
      </c>
      <c r="H32" s="322">
        <v>770</v>
      </c>
      <c r="I32" s="323">
        <v>805</v>
      </c>
      <c r="J32" s="322">
        <v>0.002</v>
      </c>
      <c r="K32" s="323">
        <v>0.002</v>
      </c>
      <c r="L32" s="305">
        <v>1.618</v>
      </c>
      <c r="M32" s="316">
        <v>3.311</v>
      </c>
      <c r="N32" s="322">
        <v>225</v>
      </c>
      <c r="O32" s="316">
        <v>220</v>
      </c>
      <c r="P32" s="322">
        <v>217</v>
      </c>
      <c r="Q32" s="323">
        <v>220</v>
      </c>
      <c r="R32" s="74"/>
      <c r="S32" s="74"/>
      <c r="T32" s="127"/>
      <c r="U32" s="127"/>
      <c r="V32" s="74"/>
      <c r="W32" s="74"/>
      <c r="X32" s="127"/>
      <c r="Y32" s="127"/>
    </row>
    <row r="33" spans="1:25" ht="15.75" customHeight="1">
      <c r="A33" s="409"/>
      <c r="B33" s="14"/>
      <c r="C33" s="50" t="s">
        <v>66</v>
      </c>
      <c r="D33" s="68"/>
      <c r="E33" s="100"/>
      <c r="F33" s="306">
        <v>483.934</v>
      </c>
      <c r="G33" s="256">
        <v>479</v>
      </c>
      <c r="H33" s="306">
        <v>194</v>
      </c>
      <c r="I33" s="321">
        <v>226</v>
      </c>
      <c r="J33" s="306">
        <v>0</v>
      </c>
      <c r="K33" s="321">
        <v>0</v>
      </c>
      <c r="L33" s="306"/>
      <c r="M33" s="321">
        <v>0</v>
      </c>
      <c r="N33" s="306">
        <v>225</v>
      </c>
      <c r="O33" s="321">
        <v>61</v>
      </c>
      <c r="P33" s="306">
        <v>198</v>
      </c>
      <c r="Q33" s="321">
        <v>189</v>
      </c>
      <c r="R33" s="74"/>
      <c r="S33" s="74"/>
      <c r="T33" s="127"/>
      <c r="U33" s="127"/>
      <c r="V33" s="74"/>
      <c r="W33" s="74"/>
      <c r="X33" s="127"/>
      <c r="Y33" s="127"/>
    </row>
    <row r="34" spans="1:25" ht="15.75" customHeight="1">
      <c r="A34" s="409"/>
      <c r="B34" s="14"/>
      <c r="C34" s="12"/>
      <c r="D34" s="61" t="s">
        <v>67</v>
      </c>
      <c r="E34" s="94"/>
      <c r="F34" s="307">
        <v>483.934</v>
      </c>
      <c r="G34" s="248">
        <v>479</v>
      </c>
      <c r="H34" s="307">
        <v>182</v>
      </c>
      <c r="I34" s="317">
        <v>213</v>
      </c>
      <c r="J34" s="307">
        <v>0</v>
      </c>
      <c r="K34" s="317">
        <v>0</v>
      </c>
      <c r="L34" s="307"/>
      <c r="M34" s="317">
        <v>0</v>
      </c>
      <c r="N34" s="307">
        <v>64</v>
      </c>
      <c r="O34" s="317">
        <v>61</v>
      </c>
      <c r="P34" s="307">
        <v>198</v>
      </c>
      <c r="Q34" s="317">
        <v>189</v>
      </c>
      <c r="R34" s="74"/>
      <c r="S34" s="74"/>
      <c r="T34" s="127"/>
      <c r="U34" s="127"/>
      <c r="V34" s="74"/>
      <c r="W34" s="74"/>
      <c r="X34" s="127"/>
      <c r="Y34" s="127"/>
    </row>
    <row r="35" spans="1:25" ht="15.75" customHeight="1">
      <c r="A35" s="409"/>
      <c r="B35" s="11"/>
      <c r="C35" s="31" t="s">
        <v>68</v>
      </c>
      <c r="D35" s="67"/>
      <c r="E35" s="101"/>
      <c r="F35" s="308">
        <v>376.008</v>
      </c>
      <c r="G35" s="249">
        <v>399</v>
      </c>
      <c r="H35" s="308">
        <v>576</v>
      </c>
      <c r="I35" s="315">
        <v>580</v>
      </c>
      <c r="J35" s="360">
        <v>0.002</v>
      </c>
      <c r="K35" s="360">
        <v>0.002</v>
      </c>
      <c r="L35" s="308">
        <v>1.618</v>
      </c>
      <c r="M35" s="315">
        <v>3.311</v>
      </c>
      <c r="N35" s="308">
        <v>161</v>
      </c>
      <c r="O35" s="315">
        <v>159</v>
      </c>
      <c r="P35" s="308">
        <v>19</v>
      </c>
      <c r="Q35" s="315">
        <v>31</v>
      </c>
      <c r="R35" s="74"/>
      <c r="S35" s="74"/>
      <c r="T35" s="127"/>
      <c r="U35" s="127"/>
      <c r="V35" s="74"/>
      <c r="W35" s="74"/>
      <c r="X35" s="127"/>
      <c r="Y35" s="127"/>
    </row>
    <row r="36" spans="1:25" ht="15.75" customHeight="1">
      <c r="A36" s="409"/>
      <c r="B36" s="66" t="s">
        <v>49</v>
      </c>
      <c r="C36" s="69"/>
      <c r="D36" s="69"/>
      <c r="E36" s="16" t="s">
        <v>38</v>
      </c>
      <c r="F36" s="305">
        <v>675.292</v>
      </c>
      <c r="G36" s="255">
        <v>692</v>
      </c>
      <c r="H36" s="305">
        <v>770</v>
      </c>
      <c r="I36" s="316">
        <v>805</v>
      </c>
      <c r="J36" s="305">
        <v>0.002</v>
      </c>
      <c r="K36" s="316">
        <v>0.002</v>
      </c>
      <c r="L36" s="305">
        <v>1.618</v>
      </c>
      <c r="M36" s="316">
        <v>3.311</v>
      </c>
      <c r="N36" s="305">
        <v>225</v>
      </c>
      <c r="O36" s="316">
        <v>220</v>
      </c>
      <c r="P36" s="305">
        <v>217</v>
      </c>
      <c r="Q36" s="316">
        <v>220</v>
      </c>
      <c r="R36" s="74"/>
      <c r="S36" s="74"/>
      <c r="T36" s="74"/>
      <c r="U36" s="74"/>
      <c r="V36" s="74"/>
      <c r="W36" s="74"/>
      <c r="X36" s="127"/>
      <c r="Y36" s="127"/>
    </row>
    <row r="37" spans="1:25" ht="15.75" customHeight="1">
      <c r="A37" s="409"/>
      <c r="B37" s="14"/>
      <c r="C37" s="61" t="s">
        <v>69</v>
      </c>
      <c r="D37" s="53"/>
      <c r="E37" s="94"/>
      <c r="F37" s="307">
        <v>441.853</v>
      </c>
      <c r="G37" s="248">
        <v>429</v>
      </c>
      <c r="H37" s="307">
        <v>762</v>
      </c>
      <c r="I37" s="317">
        <v>793</v>
      </c>
      <c r="J37" s="307">
        <v>0.002</v>
      </c>
      <c r="K37" s="317">
        <v>0.002</v>
      </c>
      <c r="L37" s="307">
        <v>1.618</v>
      </c>
      <c r="M37" s="317">
        <v>3.311</v>
      </c>
      <c r="N37" s="307">
        <v>135</v>
      </c>
      <c r="O37" s="317">
        <v>125</v>
      </c>
      <c r="P37" s="307">
        <v>215</v>
      </c>
      <c r="Q37" s="317">
        <v>217</v>
      </c>
      <c r="R37" s="74"/>
      <c r="S37" s="74"/>
      <c r="T37" s="74"/>
      <c r="U37" s="74"/>
      <c r="V37" s="74"/>
      <c r="W37" s="74"/>
      <c r="X37" s="127"/>
      <c r="Y37" s="127"/>
    </row>
    <row r="38" spans="1:25" ht="15.75" customHeight="1">
      <c r="A38" s="409"/>
      <c r="B38" s="11"/>
      <c r="C38" s="61" t="s">
        <v>70</v>
      </c>
      <c r="D38" s="53"/>
      <c r="E38" s="94"/>
      <c r="F38" s="309">
        <v>233.439</v>
      </c>
      <c r="G38" s="250">
        <v>263</v>
      </c>
      <c r="H38" s="307">
        <v>7</v>
      </c>
      <c r="I38" s="317">
        <v>12</v>
      </c>
      <c r="J38" s="307">
        <v>0</v>
      </c>
      <c r="K38" s="317">
        <v>0</v>
      </c>
      <c r="L38" s="307"/>
      <c r="M38" s="317">
        <v>0</v>
      </c>
      <c r="N38" s="307">
        <v>90</v>
      </c>
      <c r="O38" s="317">
        <v>95</v>
      </c>
      <c r="P38" s="307">
        <v>2</v>
      </c>
      <c r="Q38" s="317">
        <v>3</v>
      </c>
      <c r="R38" s="127"/>
      <c r="S38" s="127"/>
      <c r="T38" s="74"/>
      <c r="U38" s="74"/>
      <c r="V38" s="74"/>
      <c r="W38" s="74"/>
      <c r="X38" s="127"/>
      <c r="Y38" s="127"/>
    </row>
    <row r="39" spans="1:25" ht="15.75" customHeight="1">
      <c r="A39" s="410"/>
      <c r="B39" s="6" t="s">
        <v>71</v>
      </c>
      <c r="C39" s="7"/>
      <c r="D39" s="7"/>
      <c r="E39" s="102" t="s">
        <v>204</v>
      </c>
      <c r="F39" s="310">
        <f>F32-F36</f>
        <v>184.64999999999998</v>
      </c>
      <c r="G39" s="253">
        <f>G32-G36</f>
        <v>186</v>
      </c>
      <c r="H39" s="310">
        <f>H32-H36</f>
        <v>0</v>
      </c>
      <c r="I39" s="318">
        <f>I32-I36</f>
        <v>0</v>
      </c>
      <c r="J39" s="310">
        <f aca="true" t="shared" si="5" ref="J39:O39">J32-J36</f>
        <v>0</v>
      </c>
      <c r="K39" s="318">
        <f t="shared" si="5"/>
        <v>0</v>
      </c>
      <c r="L39" s="310">
        <f t="shared" si="5"/>
        <v>0</v>
      </c>
      <c r="M39" s="318">
        <f t="shared" si="5"/>
        <v>0</v>
      </c>
      <c r="N39" s="310">
        <f t="shared" si="5"/>
        <v>0</v>
      </c>
      <c r="O39" s="318">
        <f t="shared" si="5"/>
        <v>0</v>
      </c>
      <c r="P39" s="310">
        <f>P32-P36</f>
        <v>0</v>
      </c>
      <c r="Q39" s="318">
        <f>Q32-Q36</f>
        <v>0</v>
      </c>
      <c r="R39" s="74"/>
      <c r="S39" s="74"/>
      <c r="T39" s="74"/>
      <c r="U39" s="74"/>
      <c r="V39" s="74"/>
      <c r="W39" s="74"/>
      <c r="X39" s="127"/>
      <c r="Y39" s="127"/>
    </row>
    <row r="40" spans="1:25" ht="15.75" customHeight="1">
      <c r="A40" s="408" t="s">
        <v>87</v>
      </c>
      <c r="B40" s="66" t="s">
        <v>72</v>
      </c>
      <c r="C40" s="69"/>
      <c r="D40" s="69"/>
      <c r="E40" s="16" t="s">
        <v>40</v>
      </c>
      <c r="F40" s="260">
        <v>49.156</v>
      </c>
      <c r="G40" s="252">
        <v>173</v>
      </c>
      <c r="H40" s="305">
        <v>919</v>
      </c>
      <c r="I40" s="316">
        <v>177</v>
      </c>
      <c r="J40" s="305">
        <v>860.595</v>
      </c>
      <c r="K40" s="316">
        <v>1011</v>
      </c>
      <c r="L40" s="305"/>
      <c r="M40" s="316">
        <v>0</v>
      </c>
      <c r="N40" s="305">
        <v>268</v>
      </c>
      <c r="O40" s="316">
        <v>256</v>
      </c>
      <c r="P40" s="305">
        <v>35</v>
      </c>
      <c r="Q40" s="316">
        <v>35</v>
      </c>
      <c r="R40" s="74"/>
      <c r="S40" s="74"/>
      <c r="T40" s="127"/>
      <c r="U40" s="127"/>
      <c r="V40" s="127"/>
      <c r="W40" s="127"/>
      <c r="X40" s="74"/>
      <c r="Y40" s="74"/>
    </row>
    <row r="41" spans="1:25" ht="15.75" customHeight="1">
      <c r="A41" s="418"/>
      <c r="B41" s="11"/>
      <c r="C41" s="61" t="s">
        <v>73</v>
      </c>
      <c r="D41" s="53"/>
      <c r="E41" s="94"/>
      <c r="F41" s="311">
        <v>4</v>
      </c>
      <c r="G41" s="257">
        <v>106</v>
      </c>
      <c r="H41" s="360">
        <v>853</v>
      </c>
      <c r="I41" s="360">
        <v>111</v>
      </c>
      <c r="J41" s="307">
        <v>0</v>
      </c>
      <c r="K41" s="317">
        <v>0</v>
      </c>
      <c r="L41" s="307"/>
      <c r="M41" s="317">
        <v>0</v>
      </c>
      <c r="N41" s="363" t="s">
        <v>309</v>
      </c>
      <c r="O41" s="317"/>
      <c r="P41" s="307">
        <v>0</v>
      </c>
      <c r="Q41" s="317">
        <v>0</v>
      </c>
      <c r="R41" s="127"/>
      <c r="S41" s="127"/>
      <c r="T41" s="127"/>
      <c r="U41" s="127"/>
      <c r="V41" s="127"/>
      <c r="W41" s="127"/>
      <c r="X41" s="74"/>
      <c r="Y41" s="74"/>
    </row>
    <row r="42" spans="1:25" ht="15.75" customHeight="1">
      <c r="A42" s="418"/>
      <c r="B42" s="66" t="s">
        <v>60</v>
      </c>
      <c r="C42" s="69"/>
      <c r="D42" s="69"/>
      <c r="E42" s="16" t="s">
        <v>41</v>
      </c>
      <c r="F42" s="260">
        <v>233.806</v>
      </c>
      <c r="G42" s="260">
        <v>359</v>
      </c>
      <c r="H42" s="305">
        <v>920</v>
      </c>
      <c r="I42" s="316">
        <v>177</v>
      </c>
      <c r="J42" s="305">
        <v>860.595</v>
      </c>
      <c r="K42" s="316">
        <v>1011</v>
      </c>
      <c r="L42" s="305"/>
      <c r="M42" s="316">
        <v>0</v>
      </c>
      <c r="N42" s="305">
        <v>268</v>
      </c>
      <c r="O42" s="316">
        <v>256</v>
      </c>
      <c r="P42" s="305">
        <v>35</v>
      </c>
      <c r="Q42" s="316">
        <v>35</v>
      </c>
      <c r="R42" s="74"/>
      <c r="S42" s="74"/>
      <c r="T42" s="127"/>
      <c r="U42" s="127"/>
      <c r="V42" s="74"/>
      <c r="W42" s="74"/>
      <c r="X42" s="74"/>
      <c r="Y42" s="74"/>
    </row>
    <row r="43" spans="1:25" ht="15.75" customHeight="1">
      <c r="A43" s="418"/>
      <c r="B43" s="11"/>
      <c r="C43" s="61" t="s">
        <v>74</v>
      </c>
      <c r="D43" s="53"/>
      <c r="E43" s="94"/>
      <c r="F43" s="309">
        <v>229</v>
      </c>
      <c r="G43" s="250">
        <v>253</v>
      </c>
      <c r="H43" s="307">
        <v>65</v>
      </c>
      <c r="I43" s="317">
        <v>63</v>
      </c>
      <c r="J43" s="360">
        <v>719.346</v>
      </c>
      <c r="K43" s="360">
        <v>768</v>
      </c>
      <c r="L43" s="307"/>
      <c r="M43" s="317">
        <v>0</v>
      </c>
      <c r="N43" s="307">
        <v>262</v>
      </c>
      <c r="O43" s="317">
        <v>256</v>
      </c>
      <c r="P43" s="307">
        <v>35</v>
      </c>
      <c r="Q43" s="317">
        <v>35</v>
      </c>
      <c r="R43" s="127"/>
      <c r="S43" s="74"/>
      <c r="T43" s="127"/>
      <c r="U43" s="127"/>
      <c r="V43" s="74"/>
      <c r="W43" s="74"/>
      <c r="X43" s="127"/>
      <c r="Y43" s="127"/>
    </row>
    <row r="44" spans="1:25" ht="15.75" customHeight="1">
      <c r="A44" s="419"/>
      <c r="B44" s="59" t="s">
        <v>71</v>
      </c>
      <c r="C44" s="37"/>
      <c r="D44" s="37"/>
      <c r="E44" s="102" t="s">
        <v>205</v>
      </c>
      <c r="F44" s="312">
        <f>F40-F42</f>
        <v>-184.65</v>
      </c>
      <c r="G44" s="251">
        <f>G40-G42</f>
        <v>-186</v>
      </c>
      <c r="H44" s="312">
        <f>H40-H42</f>
        <v>-1</v>
      </c>
      <c r="I44" s="312">
        <v>1</v>
      </c>
      <c r="J44" s="312">
        <f aca="true" t="shared" si="6" ref="J44:Q44">J40-J42</f>
        <v>0</v>
      </c>
      <c r="K44" s="312">
        <f t="shared" si="6"/>
        <v>0</v>
      </c>
      <c r="L44" s="312">
        <f t="shared" si="6"/>
        <v>0</v>
      </c>
      <c r="M44" s="312">
        <f t="shared" si="6"/>
        <v>0</v>
      </c>
      <c r="N44" s="312">
        <f t="shared" si="6"/>
        <v>0</v>
      </c>
      <c r="O44" s="312">
        <f t="shared" si="6"/>
        <v>0</v>
      </c>
      <c r="P44" s="312">
        <f t="shared" si="6"/>
        <v>0</v>
      </c>
      <c r="Q44" s="312">
        <f t="shared" si="6"/>
        <v>0</v>
      </c>
      <c r="R44" s="74"/>
      <c r="S44" s="74"/>
      <c r="T44" s="127"/>
      <c r="U44" s="127"/>
      <c r="V44" s="74"/>
      <c r="W44" s="74"/>
      <c r="X44" s="74"/>
      <c r="Y44" s="74"/>
    </row>
    <row r="45" spans="1:25" ht="15.75" customHeight="1">
      <c r="A45" s="420" t="s">
        <v>79</v>
      </c>
      <c r="B45" s="20" t="s">
        <v>75</v>
      </c>
      <c r="C45" s="9"/>
      <c r="D45" s="9"/>
      <c r="E45" s="103" t="s">
        <v>206</v>
      </c>
      <c r="F45" s="313">
        <f aca="true" t="shared" si="7" ref="F45:Q45">F39+F44</f>
        <v>0</v>
      </c>
      <c r="G45" s="258">
        <f t="shared" si="7"/>
        <v>0</v>
      </c>
      <c r="H45" s="313">
        <f t="shared" si="7"/>
        <v>-1</v>
      </c>
      <c r="I45" s="319">
        <f t="shared" si="7"/>
        <v>1</v>
      </c>
      <c r="J45" s="313">
        <f t="shared" si="7"/>
        <v>0</v>
      </c>
      <c r="K45" s="319">
        <f t="shared" si="7"/>
        <v>0</v>
      </c>
      <c r="L45" s="313">
        <f t="shared" si="7"/>
        <v>0</v>
      </c>
      <c r="M45" s="319">
        <f t="shared" si="7"/>
        <v>0</v>
      </c>
      <c r="N45" s="313">
        <f t="shared" si="7"/>
        <v>0</v>
      </c>
      <c r="O45" s="319">
        <f t="shared" si="7"/>
        <v>0</v>
      </c>
      <c r="P45" s="313">
        <f t="shared" si="7"/>
        <v>0</v>
      </c>
      <c r="Q45" s="319">
        <f t="shared" si="7"/>
        <v>0</v>
      </c>
      <c r="R45" s="74"/>
      <c r="S45" s="74"/>
      <c r="T45" s="74"/>
      <c r="U45" s="74"/>
      <c r="V45" s="74"/>
      <c r="W45" s="74"/>
      <c r="X45" s="74"/>
      <c r="Y45" s="74"/>
    </row>
    <row r="46" spans="1:25" ht="15.75" customHeight="1">
      <c r="A46" s="421"/>
      <c r="B46" s="52" t="s">
        <v>76</v>
      </c>
      <c r="C46" s="53"/>
      <c r="D46" s="53"/>
      <c r="E46" s="53"/>
      <c r="F46" s="311"/>
      <c r="G46" s="257">
        <v>0</v>
      </c>
      <c r="H46" s="360"/>
      <c r="I46" s="360">
        <v>0</v>
      </c>
      <c r="J46" s="360">
        <v>0</v>
      </c>
      <c r="K46" s="360">
        <v>0</v>
      </c>
      <c r="L46" s="307"/>
      <c r="M46" s="317">
        <v>0</v>
      </c>
      <c r="N46" s="360"/>
      <c r="O46" s="317">
        <v>0</v>
      </c>
      <c r="P46" s="360">
        <v>0</v>
      </c>
      <c r="Q46" s="360">
        <v>0</v>
      </c>
      <c r="R46" s="127"/>
      <c r="S46" s="127"/>
      <c r="T46" s="127"/>
      <c r="U46" s="127"/>
      <c r="V46" s="127"/>
      <c r="W46" s="127"/>
      <c r="X46" s="127"/>
      <c r="Y46" s="127"/>
    </row>
    <row r="47" spans="1:25" ht="15.75" customHeight="1">
      <c r="A47" s="421"/>
      <c r="B47" s="52" t="s">
        <v>77</v>
      </c>
      <c r="C47" s="53"/>
      <c r="D47" s="53"/>
      <c r="E47" s="53"/>
      <c r="F47" s="307"/>
      <c r="G47" s="248">
        <v>0</v>
      </c>
      <c r="H47" s="307"/>
      <c r="I47" s="317">
        <v>1</v>
      </c>
      <c r="J47" s="307">
        <v>0</v>
      </c>
      <c r="K47" s="317">
        <v>0</v>
      </c>
      <c r="L47" s="307"/>
      <c r="M47" s="317">
        <v>0</v>
      </c>
      <c r="N47" s="307"/>
      <c r="O47" s="317">
        <v>0</v>
      </c>
      <c r="P47" s="307">
        <v>0</v>
      </c>
      <c r="Q47" s="317">
        <v>0</v>
      </c>
      <c r="R47" s="74"/>
      <c r="S47" s="74"/>
      <c r="T47" s="74"/>
      <c r="U47" s="74"/>
      <c r="V47" s="74"/>
      <c r="W47" s="74"/>
      <c r="X47" s="74"/>
      <c r="Y47" s="74"/>
    </row>
    <row r="48" spans="1:25" ht="15.75" customHeight="1">
      <c r="A48" s="422"/>
      <c r="B48" s="59" t="s">
        <v>78</v>
      </c>
      <c r="C48" s="37"/>
      <c r="D48" s="37"/>
      <c r="E48" s="37"/>
      <c r="F48" s="314"/>
      <c r="G48" s="259">
        <v>0</v>
      </c>
      <c r="H48" s="314"/>
      <c r="I48" s="320">
        <v>0</v>
      </c>
      <c r="J48" s="314">
        <v>0</v>
      </c>
      <c r="K48" s="320">
        <v>0</v>
      </c>
      <c r="L48" s="314"/>
      <c r="M48" s="320">
        <v>0</v>
      </c>
      <c r="N48" s="314"/>
      <c r="O48" s="320">
        <v>0</v>
      </c>
      <c r="P48" s="314">
        <v>0</v>
      </c>
      <c r="Q48" s="320">
        <v>0</v>
      </c>
      <c r="R48" s="74"/>
      <c r="S48" s="74"/>
      <c r="T48" s="74"/>
      <c r="U48" s="74"/>
      <c r="V48" s="74"/>
      <c r="W48" s="74"/>
      <c r="X48" s="74"/>
      <c r="Y48" s="74"/>
    </row>
    <row r="49" spans="1:15" ht="15.75" customHeight="1">
      <c r="A49" s="27" t="s">
        <v>207</v>
      </c>
      <c r="O49" s="5"/>
    </row>
    <row r="50" spans="1:15" ht="15.75" customHeight="1">
      <c r="A50" s="27"/>
      <c r="O50" s="14"/>
    </row>
  </sheetData>
  <sheetProtection/>
  <mergeCells count="29">
    <mergeCell ref="P30:Q30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  <mergeCell ref="I25:I26"/>
    <mergeCell ref="J25:J26"/>
    <mergeCell ref="K25:K26"/>
    <mergeCell ref="L25:L26"/>
    <mergeCell ref="M25:M26"/>
    <mergeCell ref="N25:N26"/>
    <mergeCell ref="A8:A18"/>
    <mergeCell ref="A19:A27"/>
    <mergeCell ref="E25:E26"/>
    <mergeCell ref="F25:F26"/>
    <mergeCell ref="G25:G26"/>
    <mergeCell ref="H25:H26"/>
    <mergeCell ref="A6:E7"/>
    <mergeCell ref="F6:G6"/>
    <mergeCell ref="H6:I6"/>
    <mergeCell ref="J6:K6"/>
    <mergeCell ref="L6:M6"/>
    <mergeCell ref="N6:O6"/>
  </mergeCells>
  <printOptions horizontalCentered="1"/>
  <pageMargins left="0.7874015748031497" right="0.35433070866141736" top="0.2755905511811024" bottom="0.2362204724409449" header="0.1968503937007874" footer="0.1968503937007874"/>
  <pageSetup firstPageNumber="3" useFirstPageNumber="1" horizontalDpi="300" verticalDpi="300" orientation="landscape" paperSize="9" scale="67" r:id="rId3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view="pageBreakPreview" zoomScale="85" zoomScaleSheetLayoutView="85" zoomScalePageLayoutView="0" workbookViewId="0" topLeftCell="A1">
      <pane xSplit="4" ySplit="7" topLeftCell="E8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J15" sqref="J15"/>
    </sheetView>
  </sheetViews>
  <sheetFormatPr defaultColWidth="8.796875" defaultRowHeight="14.25"/>
  <cols>
    <col min="1" max="2" width="3.59765625" style="1" customWidth="1"/>
    <col min="3" max="3" width="21.3984375" style="1" customWidth="1"/>
    <col min="4" max="4" width="20" style="1" customWidth="1"/>
    <col min="5" max="14" width="12.59765625" style="1" customWidth="1"/>
    <col min="15" max="16384" width="9" style="1" customWidth="1"/>
  </cols>
  <sheetData>
    <row r="1" spans="1:4" ht="33.75" customHeight="1">
      <c r="A1" s="153" t="s">
        <v>0</v>
      </c>
      <c r="B1" s="153"/>
      <c r="C1" s="195" t="s">
        <v>301</v>
      </c>
      <c r="D1" s="196"/>
    </row>
    <row r="3" spans="1:10" ht="15" customHeight="1">
      <c r="A3" s="45" t="s">
        <v>208</v>
      </c>
      <c r="B3" s="45"/>
      <c r="C3" s="45"/>
      <c r="D3" s="45"/>
      <c r="E3" s="45"/>
      <c r="F3" s="45"/>
      <c r="I3" s="45"/>
      <c r="J3" s="45"/>
    </row>
    <row r="4" spans="1:10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197"/>
      <c r="B5" s="197" t="s">
        <v>287</v>
      </c>
      <c r="C5" s="197"/>
      <c r="D5" s="197"/>
      <c r="H5" s="46"/>
      <c r="L5" s="46"/>
      <c r="N5" s="46" t="s">
        <v>209</v>
      </c>
    </row>
    <row r="6" spans="1:14" ht="15" customHeight="1">
      <c r="A6" s="198"/>
      <c r="B6" s="199"/>
      <c r="C6" s="199"/>
      <c r="D6" s="199"/>
      <c r="E6" s="438" t="s">
        <v>302</v>
      </c>
      <c r="F6" s="439"/>
      <c r="G6" s="440" t="s">
        <v>310</v>
      </c>
      <c r="H6" s="441"/>
      <c r="I6" s="200"/>
      <c r="J6" s="201"/>
      <c r="K6" s="442"/>
      <c r="L6" s="443"/>
      <c r="M6" s="442"/>
      <c r="N6" s="443"/>
    </row>
    <row r="7" spans="1:14" ht="15" customHeight="1">
      <c r="A7" s="202"/>
      <c r="B7" s="203"/>
      <c r="C7" s="203"/>
      <c r="D7" s="203"/>
      <c r="E7" s="332" t="s">
        <v>303</v>
      </c>
      <c r="F7" s="333" t="s">
        <v>1</v>
      </c>
      <c r="G7" s="204" t="s">
        <v>285</v>
      </c>
      <c r="H7" s="35" t="s">
        <v>1</v>
      </c>
      <c r="I7" s="204" t="s">
        <v>285</v>
      </c>
      <c r="J7" s="35" t="s">
        <v>1</v>
      </c>
      <c r="K7" s="204" t="s">
        <v>285</v>
      </c>
      <c r="L7" s="35" t="s">
        <v>1</v>
      </c>
      <c r="M7" s="204" t="s">
        <v>285</v>
      </c>
      <c r="N7" s="246" t="s">
        <v>1</v>
      </c>
    </row>
    <row r="8" spans="1:14" ht="18" customHeight="1">
      <c r="A8" s="444" t="s">
        <v>210</v>
      </c>
      <c r="B8" s="205" t="s">
        <v>211</v>
      </c>
      <c r="C8" s="206"/>
      <c r="D8" s="206"/>
      <c r="E8" s="334">
        <v>1</v>
      </c>
      <c r="F8" s="335">
        <v>1</v>
      </c>
      <c r="G8" s="370">
        <v>20</v>
      </c>
      <c r="H8" s="364">
        <v>21</v>
      </c>
      <c r="I8" s="207"/>
      <c r="J8" s="208"/>
      <c r="K8" s="207"/>
      <c r="L8" s="209"/>
      <c r="M8" s="207"/>
      <c r="N8" s="209"/>
    </row>
    <row r="9" spans="1:14" ht="18" customHeight="1">
      <c r="A9" s="387"/>
      <c r="B9" s="444" t="s">
        <v>212</v>
      </c>
      <c r="C9" s="172" t="s">
        <v>213</v>
      </c>
      <c r="D9" s="173"/>
      <c r="E9" s="336">
        <v>100</v>
      </c>
      <c r="F9" s="337">
        <v>100</v>
      </c>
      <c r="G9" s="371">
        <v>100</v>
      </c>
      <c r="H9" s="365">
        <v>100</v>
      </c>
      <c r="I9" s="210"/>
      <c r="J9" s="211"/>
      <c r="K9" s="210"/>
      <c r="L9" s="212"/>
      <c r="M9" s="210"/>
      <c r="N9" s="212"/>
    </row>
    <row r="10" spans="1:14" ht="18" customHeight="1">
      <c r="A10" s="387"/>
      <c r="B10" s="387"/>
      <c r="C10" s="52" t="s">
        <v>214</v>
      </c>
      <c r="D10" s="53"/>
      <c r="E10" s="338">
        <v>100</v>
      </c>
      <c r="F10" s="339">
        <v>100</v>
      </c>
      <c r="G10" s="372">
        <v>92.966</v>
      </c>
      <c r="H10" s="366">
        <v>91</v>
      </c>
      <c r="I10" s="213"/>
      <c r="J10" s="214"/>
      <c r="K10" s="213"/>
      <c r="L10" s="215"/>
      <c r="M10" s="213"/>
      <c r="N10" s="215"/>
    </row>
    <row r="11" spans="1:14" ht="18" customHeight="1">
      <c r="A11" s="387"/>
      <c r="B11" s="387"/>
      <c r="C11" s="52" t="s">
        <v>215</v>
      </c>
      <c r="D11" s="53"/>
      <c r="E11" s="338">
        <v>0</v>
      </c>
      <c r="F11" s="339">
        <v>0</v>
      </c>
      <c r="G11" s="307">
        <v>0</v>
      </c>
      <c r="H11" s="366">
        <v>0</v>
      </c>
      <c r="I11" s="213"/>
      <c r="J11" s="214"/>
      <c r="K11" s="213"/>
      <c r="L11" s="215"/>
      <c r="M11" s="213"/>
      <c r="N11" s="215"/>
    </row>
    <row r="12" spans="1:14" ht="18" customHeight="1">
      <c r="A12" s="387"/>
      <c r="B12" s="387"/>
      <c r="C12" s="52" t="s">
        <v>216</v>
      </c>
      <c r="D12" s="53"/>
      <c r="E12" s="338">
        <v>0</v>
      </c>
      <c r="F12" s="339">
        <v>0</v>
      </c>
      <c r="G12" s="372">
        <v>7.034</v>
      </c>
      <c r="H12" s="366">
        <v>9</v>
      </c>
      <c r="I12" s="213"/>
      <c r="J12" s="214"/>
      <c r="K12" s="213"/>
      <c r="L12" s="215"/>
      <c r="M12" s="213"/>
      <c r="N12" s="215"/>
    </row>
    <row r="13" spans="1:14" ht="18" customHeight="1">
      <c r="A13" s="387"/>
      <c r="B13" s="387"/>
      <c r="C13" s="52" t="s">
        <v>217</v>
      </c>
      <c r="D13" s="53"/>
      <c r="E13" s="338">
        <v>0</v>
      </c>
      <c r="F13" s="339">
        <v>0</v>
      </c>
      <c r="G13" s="307">
        <v>0</v>
      </c>
      <c r="H13" s="366">
        <v>0</v>
      </c>
      <c r="I13" s="213"/>
      <c r="J13" s="214"/>
      <c r="K13" s="213"/>
      <c r="L13" s="215"/>
      <c r="M13" s="213"/>
      <c r="N13" s="215"/>
    </row>
    <row r="14" spans="1:14" ht="18" customHeight="1">
      <c r="A14" s="388"/>
      <c r="B14" s="388"/>
      <c r="C14" s="59" t="s">
        <v>79</v>
      </c>
      <c r="D14" s="37"/>
      <c r="E14" s="340">
        <v>0</v>
      </c>
      <c r="F14" s="341">
        <v>0</v>
      </c>
      <c r="G14" s="314">
        <v>0</v>
      </c>
      <c r="H14" s="367">
        <v>0</v>
      </c>
      <c r="I14" s="216"/>
      <c r="J14" s="217"/>
      <c r="K14" s="216"/>
      <c r="L14" s="218"/>
      <c r="M14" s="216"/>
      <c r="N14" s="218"/>
    </row>
    <row r="15" spans="1:14" ht="18" customHeight="1">
      <c r="A15" s="386" t="s">
        <v>218</v>
      </c>
      <c r="B15" s="444" t="s">
        <v>219</v>
      </c>
      <c r="C15" s="172" t="s">
        <v>220</v>
      </c>
      <c r="D15" s="173"/>
      <c r="E15" s="342">
        <v>648</v>
      </c>
      <c r="F15" s="343">
        <v>748</v>
      </c>
      <c r="G15" s="373">
        <v>4525.101</v>
      </c>
      <c r="H15" s="368">
        <v>4223</v>
      </c>
      <c r="I15" s="219"/>
      <c r="J15" s="220"/>
      <c r="K15" s="219"/>
      <c r="L15" s="131"/>
      <c r="M15" s="219"/>
      <c r="N15" s="131"/>
    </row>
    <row r="16" spans="1:14" ht="18" customHeight="1">
      <c r="A16" s="387"/>
      <c r="B16" s="387"/>
      <c r="C16" s="52" t="s">
        <v>221</v>
      </c>
      <c r="D16" s="53"/>
      <c r="E16" s="344">
        <v>326</v>
      </c>
      <c r="F16" s="317">
        <v>305</v>
      </c>
      <c r="G16" s="307">
        <v>7285.864</v>
      </c>
      <c r="H16" s="248">
        <v>7606</v>
      </c>
      <c r="I16" s="108"/>
      <c r="J16" s="109"/>
      <c r="K16" s="108"/>
      <c r="L16" s="129"/>
      <c r="M16" s="108"/>
      <c r="N16" s="129"/>
    </row>
    <row r="17" spans="1:14" ht="18" customHeight="1">
      <c r="A17" s="387"/>
      <c r="B17" s="387"/>
      <c r="C17" s="52" t="s">
        <v>222</v>
      </c>
      <c r="D17" s="53"/>
      <c r="E17" s="344">
        <v>0</v>
      </c>
      <c r="F17" s="317">
        <v>0</v>
      </c>
      <c r="G17" s="307">
        <v>0</v>
      </c>
      <c r="H17" s="248">
        <v>0</v>
      </c>
      <c r="I17" s="108"/>
      <c r="J17" s="109"/>
      <c r="K17" s="108"/>
      <c r="L17" s="129"/>
      <c r="M17" s="108"/>
      <c r="N17" s="129"/>
    </row>
    <row r="18" spans="1:14" ht="18" customHeight="1">
      <c r="A18" s="387"/>
      <c r="B18" s="388"/>
      <c r="C18" s="59" t="s">
        <v>223</v>
      </c>
      <c r="D18" s="37"/>
      <c r="E18" s="345">
        <v>974</v>
      </c>
      <c r="F18" s="318">
        <v>1053</v>
      </c>
      <c r="G18" s="310">
        <v>11810.965</v>
      </c>
      <c r="H18" s="253">
        <v>11829</v>
      </c>
      <c r="I18" s="136"/>
      <c r="J18" s="221"/>
      <c r="K18" s="136"/>
      <c r="L18" s="221"/>
      <c r="M18" s="136"/>
      <c r="N18" s="221"/>
    </row>
    <row r="19" spans="1:14" ht="18" customHeight="1">
      <c r="A19" s="387"/>
      <c r="B19" s="444" t="s">
        <v>224</v>
      </c>
      <c r="C19" s="172" t="s">
        <v>225</v>
      </c>
      <c r="D19" s="173"/>
      <c r="E19" s="346">
        <v>389</v>
      </c>
      <c r="F19" s="319">
        <v>483</v>
      </c>
      <c r="G19" s="313">
        <v>1493.802</v>
      </c>
      <c r="H19" s="258">
        <v>1741</v>
      </c>
      <c r="I19" s="137"/>
      <c r="J19" s="131"/>
      <c r="K19" s="137"/>
      <c r="L19" s="131"/>
      <c r="M19" s="137"/>
      <c r="N19" s="131"/>
    </row>
    <row r="20" spans="1:14" ht="18" customHeight="1">
      <c r="A20" s="387"/>
      <c r="B20" s="387"/>
      <c r="C20" s="52" t="s">
        <v>226</v>
      </c>
      <c r="D20" s="53"/>
      <c r="E20" s="224">
        <v>313</v>
      </c>
      <c r="F20" s="325">
        <v>320</v>
      </c>
      <c r="G20" s="309">
        <v>5715.198</v>
      </c>
      <c r="H20" s="250">
        <v>5917</v>
      </c>
      <c r="I20" s="135"/>
      <c r="J20" s="129"/>
      <c r="K20" s="135"/>
      <c r="L20" s="129"/>
      <c r="M20" s="135"/>
      <c r="N20" s="129"/>
    </row>
    <row r="21" spans="1:14" s="226" customFormat="1" ht="18" customHeight="1">
      <c r="A21" s="387"/>
      <c r="B21" s="387"/>
      <c r="C21" s="222" t="s">
        <v>227</v>
      </c>
      <c r="D21" s="223"/>
      <c r="E21" s="224">
        <v>0</v>
      </c>
      <c r="F21" s="325">
        <v>0</v>
      </c>
      <c r="G21" s="374">
        <v>0</v>
      </c>
      <c r="H21" s="325">
        <v>0</v>
      </c>
      <c r="I21" s="224"/>
      <c r="J21" s="225"/>
      <c r="K21" s="224"/>
      <c r="L21" s="225"/>
      <c r="M21" s="224"/>
      <c r="N21" s="225"/>
    </row>
    <row r="22" spans="1:14" ht="18" customHeight="1">
      <c r="A22" s="387"/>
      <c r="B22" s="388"/>
      <c r="C22" s="6" t="s">
        <v>228</v>
      </c>
      <c r="D22" s="7"/>
      <c r="E22" s="345">
        <v>702</v>
      </c>
      <c r="F22" s="318">
        <v>803</v>
      </c>
      <c r="G22" s="310">
        <v>7209</v>
      </c>
      <c r="H22" s="253">
        <v>7658</v>
      </c>
      <c r="I22" s="136"/>
      <c r="J22" s="130"/>
      <c r="K22" s="136"/>
      <c r="L22" s="130"/>
      <c r="M22" s="136"/>
      <c r="N22" s="130"/>
    </row>
    <row r="23" spans="1:14" ht="18" customHeight="1">
      <c r="A23" s="387"/>
      <c r="B23" s="444" t="s">
        <v>229</v>
      </c>
      <c r="C23" s="172" t="s">
        <v>230</v>
      </c>
      <c r="D23" s="173"/>
      <c r="E23" s="346">
        <v>105</v>
      </c>
      <c r="F23" s="319">
        <v>105</v>
      </c>
      <c r="G23" s="313">
        <v>100</v>
      </c>
      <c r="H23" s="258">
        <v>100</v>
      </c>
      <c r="I23" s="137"/>
      <c r="J23" s="131"/>
      <c r="K23" s="137"/>
      <c r="L23" s="131"/>
      <c r="M23" s="137"/>
      <c r="N23" s="131"/>
    </row>
    <row r="24" spans="1:14" ht="18" customHeight="1">
      <c r="A24" s="387"/>
      <c r="B24" s="387"/>
      <c r="C24" s="52" t="s">
        <v>231</v>
      </c>
      <c r="D24" s="53"/>
      <c r="E24" s="224">
        <v>166</v>
      </c>
      <c r="F24" s="325">
        <v>144</v>
      </c>
      <c r="G24" s="309">
        <v>3846.909</v>
      </c>
      <c r="H24" s="250">
        <v>3416</v>
      </c>
      <c r="I24" s="135"/>
      <c r="J24" s="129"/>
      <c r="K24" s="135"/>
      <c r="L24" s="129"/>
      <c r="M24" s="135"/>
      <c r="N24" s="129"/>
    </row>
    <row r="25" spans="1:14" ht="18" customHeight="1">
      <c r="A25" s="387"/>
      <c r="B25" s="387"/>
      <c r="C25" s="52" t="s">
        <v>232</v>
      </c>
      <c r="D25" s="53"/>
      <c r="E25" s="224">
        <v>0</v>
      </c>
      <c r="F25" s="325">
        <v>0</v>
      </c>
      <c r="G25" s="309">
        <v>655.056</v>
      </c>
      <c r="H25" s="250">
        <v>655</v>
      </c>
      <c r="I25" s="135"/>
      <c r="J25" s="129"/>
      <c r="K25" s="135"/>
      <c r="L25" s="129"/>
      <c r="M25" s="135"/>
      <c r="N25" s="129"/>
    </row>
    <row r="26" spans="1:14" ht="18" customHeight="1">
      <c r="A26" s="387"/>
      <c r="B26" s="388"/>
      <c r="C26" s="57" t="s">
        <v>233</v>
      </c>
      <c r="D26" s="58"/>
      <c r="E26" s="347">
        <v>271</v>
      </c>
      <c r="F26" s="348">
        <v>249</v>
      </c>
      <c r="G26" s="375">
        <v>4601.965</v>
      </c>
      <c r="H26" s="369">
        <v>4171</v>
      </c>
      <c r="I26" s="125"/>
      <c r="J26" s="130"/>
      <c r="K26" s="227"/>
      <c r="L26" s="130"/>
      <c r="M26" s="227"/>
      <c r="N26" s="130"/>
    </row>
    <row r="27" spans="1:14" ht="18" customHeight="1">
      <c r="A27" s="388"/>
      <c r="B27" s="59" t="s">
        <v>234</v>
      </c>
      <c r="C27" s="37"/>
      <c r="D27" s="37"/>
      <c r="E27" s="349">
        <v>974</v>
      </c>
      <c r="F27" s="350">
        <v>1053</v>
      </c>
      <c r="G27" s="310">
        <v>11810.965</v>
      </c>
      <c r="H27" s="253">
        <v>11829</v>
      </c>
      <c r="I27" s="228"/>
      <c r="J27" s="130"/>
      <c r="K27" s="136"/>
      <c r="L27" s="130"/>
      <c r="M27" s="136"/>
      <c r="N27" s="130"/>
    </row>
    <row r="28" spans="1:14" ht="18" customHeight="1">
      <c r="A28" s="444" t="s">
        <v>235</v>
      </c>
      <c r="B28" s="444" t="s">
        <v>236</v>
      </c>
      <c r="C28" s="172" t="s">
        <v>237</v>
      </c>
      <c r="D28" s="229" t="s">
        <v>37</v>
      </c>
      <c r="E28" s="346">
        <v>1956</v>
      </c>
      <c r="F28" s="319">
        <v>2142</v>
      </c>
      <c r="G28" s="313">
        <v>3296.763</v>
      </c>
      <c r="H28" s="258">
        <v>3173</v>
      </c>
      <c r="I28" s="137"/>
      <c r="J28" s="131"/>
      <c r="K28" s="137"/>
      <c r="L28" s="131"/>
      <c r="M28" s="137"/>
      <c r="N28" s="131"/>
    </row>
    <row r="29" spans="1:14" ht="18" customHeight="1">
      <c r="A29" s="387"/>
      <c r="B29" s="387"/>
      <c r="C29" s="52" t="s">
        <v>238</v>
      </c>
      <c r="D29" s="230" t="s">
        <v>38</v>
      </c>
      <c r="E29" s="224">
        <v>1980</v>
      </c>
      <c r="F29" s="325">
        <v>2232</v>
      </c>
      <c r="G29" s="309">
        <v>2662.351</v>
      </c>
      <c r="H29" s="250">
        <v>2652</v>
      </c>
      <c r="I29" s="135"/>
      <c r="J29" s="129"/>
      <c r="K29" s="135"/>
      <c r="L29" s="129"/>
      <c r="M29" s="135"/>
      <c r="N29" s="129"/>
    </row>
    <row r="30" spans="1:14" ht="18" customHeight="1">
      <c r="A30" s="387"/>
      <c r="B30" s="387"/>
      <c r="C30" s="52" t="s">
        <v>239</v>
      </c>
      <c r="D30" s="230" t="s">
        <v>240</v>
      </c>
      <c r="E30" s="224">
        <v>47</v>
      </c>
      <c r="F30" s="325">
        <v>47</v>
      </c>
      <c r="G30" s="307">
        <v>225.446</v>
      </c>
      <c r="H30" s="248">
        <v>226</v>
      </c>
      <c r="I30" s="135"/>
      <c r="J30" s="129"/>
      <c r="K30" s="135"/>
      <c r="L30" s="129"/>
      <c r="M30" s="135"/>
      <c r="N30" s="129"/>
    </row>
    <row r="31" spans="1:15" ht="18" customHeight="1">
      <c r="A31" s="387"/>
      <c r="B31" s="387"/>
      <c r="C31" s="6" t="s">
        <v>241</v>
      </c>
      <c r="D31" s="231" t="s">
        <v>242</v>
      </c>
      <c r="E31" s="345">
        <f>E28-E29-E30</f>
        <v>-71</v>
      </c>
      <c r="F31" s="318">
        <f>F28-F29-F30</f>
        <v>-137</v>
      </c>
      <c r="G31" s="310">
        <f>G28-G29-G30</f>
        <v>408.9659999999998</v>
      </c>
      <c r="H31" s="253">
        <f>H28-H29-H30</f>
        <v>295</v>
      </c>
      <c r="I31" s="136">
        <f aca="true" t="shared" si="0" ref="I31:N31">I28-I29-I30</f>
        <v>0</v>
      </c>
      <c r="J31" s="232">
        <f t="shared" si="0"/>
        <v>0</v>
      </c>
      <c r="K31" s="136">
        <f t="shared" si="0"/>
        <v>0</v>
      </c>
      <c r="L31" s="232">
        <f t="shared" si="0"/>
        <v>0</v>
      </c>
      <c r="M31" s="136">
        <f t="shared" si="0"/>
        <v>0</v>
      </c>
      <c r="N31" s="221">
        <f t="shared" si="0"/>
        <v>0</v>
      </c>
      <c r="O31" s="8"/>
    </row>
    <row r="32" spans="1:14" ht="18" customHeight="1">
      <c r="A32" s="387"/>
      <c r="B32" s="387"/>
      <c r="C32" s="172" t="s">
        <v>243</v>
      </c>
      <c r="D32" s="229" t="s">
        <v>244</v>
      </c>
      <c r="E32" s="346">
        <v>97</v>
      </c>
      <c r="F32" s="319">
        <v>156</v>
      </c>
      <c r="G32" s="313">
        <v>21.023</v>
      </c>
      <c r="H32" s="258">
        <v>22</v>
      </c>
      <c r="I32" s="137"/>
      <c r="J32" s="131"/>
      <c r="K32" s="137"/>
      <c r="L32" s="131"/>
      <c r="M32" s="137"/>
      <c r="N32" s="131"/>
    </row>
    <row r="33" spans="1:14" ht="18" customHeight="1">
      <c r="A33" s="387"/>
      <c r="B33" s="387"/>
      <c r="C33" s="52" t="s">
        <v>245</v>
      </c>
      <c r="D33" s="230" t="s">
        <v>246</v>
      </c>
      <c r="E33" s="224">
        <v>4</v>
      </c>
      <c r="F33" s="325">
        <v>7</v>
      </c>
      <c r="G33" s="309">
        <v>4.091</v>
      </c>
      <c r="H33" s="250">
        <v>13</v>
      </c>
      <c r="I33" s="135"/>
      <c r="J33" s="129"/>
      <c r="K33" s="135"/>
      <c r="L33" s="129"/>
      <c r="M33" s="135"/>
      <c r="N33" s="129"/>
    </row>
    <row r="34" spans="1:14" ht="18" customHeight="1">
      <c r="A34" s="387"/>
      <c r="B34" s="388"/>
      <c r="C34" s="6" t="s">
        <v>247</v>
      </c>
      <c r="D34" s="231" t="s">
        <v>248</v>
      </c>
      <c r="E34" s="345">
        <f>E31+E32-E33</f>
        <v>22</v>
      </c>
      <c r="F34" s="318">
        <f>F31+F32-F33</f>
        <v>12</v>
      </c>
      <c r="G34" s="310">
        <f>G31+G32-G33</f>
        <v>425.8979999999998</v>
      </c>
      <c r="H34" s="253">
        <f>H31+H32-H33</f>
        <v>304</v>
      </c>
      <c r="I34" s="136">
        <f aca="true" t="shared" si="1" ref="I34:N34">I31+I32-I33</f>
        <v>0</v>
      </c>
      <c r="J34" s="130">
        <f t="shared" si="1"/>
        <v>0</v>
      </c>
      <c r="K34" s="136">
        <f t="shared" si="1"/>
        <v>0</v>
      </c>
      <c r="L34" s="130">
        <f t="shared" si="1"/>
        <v>0</v>
      </c>
      <c r="M34" s="136">
        <f t="shared" si="1"/>
        <v>0</v>
      </c>
      <c r="N34" s="130">
        <f t="shared" si="1"/>
        <v>0</v>
      </c>
    </row>
    <row r="35" spans="1:14" ht="18" customHeight="1">
      <c r="A35" s="387"/>
      <c r="B35" s="444" t="s">
        <v>249</v>
      </c>
      <c r="C35" s="172" t="s">
        <v>250</v>
      </c>
      <c r="D35" s="229" t="s">
        <v>251</v>
      </c>
      <c r="E35" s="346">
        <v>0</v>
      </c>
      <c r="F35" s="319">
        <v>0</v>
      </c>
      <c r="G35" s="313">
        <v>21.927</v>
      </c>
      <c r="H35" s="258">
        <v>0</v>
      </c>
      <c r="I35" s="137"/>
      <c r="J35" s="131"/>
      <c r="K35" s="137"/>
      <c r="L35" s="131"/>
      <c r="M35" s="137"/>
      <c r="N35" s="131"/>
    </row>
    <row r="36" spans="1:14" ht="18" customHeight="1">
      <c r="A36" s="387"/>
      <c r="B36" s="387"/>
      <c r="C36" s="52" t="s">
        <v>252</v>
      </c>
      <c r="D36" s="230" t="s">
        <v>253</v>
      </c>
      <c r="E36" s="224">
        <v>0</v>
      </c>
      <c r="F36" s="325">
        <v>0</v>
      </c>
      <c r="G36" s="309">
        <v>16.044</v>
      </c>
      <c r="H36" s="250">
        <v>40</v>
      </c>
      <c r="I36" s="135"/>
      <c r="J36" s="129"/>
      <c r="K36" s="135"/>
      <c r="L36" s="129"/>
      <c r="M36" s="135"/>
      <c r="N36" s="129"/>
    </row>
    <row r="37" spans="1:14" ht="18" customHeight="1">
      <c r="A37" s="387"/>
      <c r="B37" s="387"/>
      <c r="C37" s="52" t="s">
        <v>254</v>
      </c>
      <c r="D37" s="230" t="s">
        <v>255</v>
      </c>
      <c r="E37" s="224">
        <f>E34+E35-E36</f>
        <v>22</v>
      </c>
      <c r="F37" s="325">
        <f>F34+F35-F36</f>
        <v>12</v>
      </c>
      <c r="G37" s="309">
        <f>G34+G35-G36</f>
        <v>431.78099999999984</v>
      </c>
      <c r="H37" s="250">
        <f>H34+H35-H36</f>
        <v>264</v>
      </c>
      <c r="I37" s="135">
        <f aca="true" t="shared" si="2" ref="I37:N37">I34+I35-I36</f>
        <v>0</v>
      </c>
      <c r="J37" s="129">
        <f t="shared" si="2"/>
        <v>0</v>
      </c>
      <c r="K37" s="135">
        <f t="shared" si="2"/>
        <v>0</v>
      </c>
      <c r="L37" s="129">
        <f t="shared" si="2"/>
        <v>0</v>
      </c>
      <c r="M37" s="135">
        <f t="shared" si="2"/>
        <v>0</v>
      </c>
      <c r="N37" s="129">
        <f t="shared" si="2"/>
        <v>0</v>
      </c>
    </row>
    <row r="38" spans="1:14" ht="18" customHeight="1">
      <c r="A38" s="387"/>
      <c r="B38" s="387"/>
      <c r="C38" s="52" t="s">
        <v>256</v>
      </c>
      <c r="D38" s="230" t="s">
        <v>257</v>
      </c>
      <c r="E38" s="224">
        <v>0</v>
      </c>
      <c r="F38" s="325">
        <v>0</v>
      </c>
      <c r="G38" s="309">
        <v>0</v>
      </c>
      <c r="H38" s="250">
        <v>0</v>
      </c>
      <c r="I38" s="135"/>
      <c r="J38" s="129"/>
      <c r="K38" s="135"/>
      <c r="L38" s="129"/>
      <c r="M38" s="135"/>
      <c r="N38" s="129"/>
    </row>
    <row r="39" spans="1:14" ht="18" customHeight="1">
      <c r="A39" s="387"/>
      <c r="B39" s="387"/>
      <c r="C39" s="52" t="s">
        <v>258</v>
      </c>
      <c r="D39" s="230" t="s">
        <v>259</v>
      </c>
      <c r="E39" s="224">
        <v>0</v>
      </c>
      <c r="F39" s="325">
        <v>0</v>
      </c>
      <c r="G39" s="309">
        <v>0</v>
      </c>
      <c r="H39" s="250">
        <v>0</v>
      </c>
      <c r="I39" s="135"/>
      <c r="J39" s="129"/>
      <c r="K39" s="135"/>
      <c r="L39" s="129"/>
      <c r="M39" s="135"/>
      <c r="N39" s="129"/>
    </row>
    <row r="40" spans="1:14" ht="18" customHeight="1">
      <c r="A40" s="387"/>
      <c r="B40" s="387"/>
      <c r="C40" s="52" t="s">
        <v>260</v>
      </c>
      <c r="D40" s="230" t="s">
        <v>261</v>
      </c>
      <c r="E40" s="224">
        <v>0</v>
      </c>
      <c r="F40" s="325">
        <v>0</v>
      </c>
      <c r="G40" s="309">
        <v>0.53</v>
      </c>
      <c r="H40" s="250">
        <v>1</v>
      </c>
      <c r="I40" s="135"/>
      <c r="J40" s="129"/>
      <c r="K40" s="135"/>
      <c r="L40" s="129"/>
      <c r="M40" s="135"/>
      <c r="N40" s="129"/>
    </row>
    <row r="41" spans="1:14" ht="18" customHeight="1">
      <c r="A41" s="387"/>
      <c r="B41" s="387"/>
      <c r="C41" s="182" t="s">
        <v>262</v>
      </c>
      <c r="D41" s="230" t="s">
        <v>263</v>
      </c>
      <c r="E41" s="224">
        <f>E34+E35-E36-E40</f>
        <v>22</v>
      </c>
      <c r="F41" s="325">
        <f>F34+F35-F36-F40</f>
        <v>12</v>
      </c>
      <c r="G41" s="309">
        <f>G34+G35-G36-G40</f>
        <v>431.25099999999986</v>
      </c>
      <c r="H41" s="250">
        <f>H34+H35-H36-H40</f>
        <v>263</v>
      </c>
      <c r="I41" s="135">
        <f aca="true" t="shared" si="3" ref="I41:N41">I34+I35-I36-I40</f>
        <v>0</v>
      </c>
      <c r="J41" s="129">
        <f t="shared" si="3"/>
        <v>0</v>
      </c>
      <c r="K41" s="135">
        <f t="shared" si="3"/>
        <v>0</v>
      </c>
      <c r="L41" s="129">
        <f t="shared" si="3"/>
        <v>0</v>
      </c>
      <c r="M41" s="135">
        <f t="shared" si="3"/>
        <v>0</v>
      </c>
      <c r="N41" s="129">
        <f t="shared" si="3"/>
        <v>0</v>
      </c>
    </row>
    <row r="42" spans="1:14" ht="18" customHeight="1">
      <c r="A42" s="387"/>
      <c r="B42" s="387"/>
      <c r="C42" s="445" t="s">
        <v>264</v>
      </c>
      <c r="D42" s="446"/>
      <c r="E42" s="344">
        <f>E37+E38-E39-E40</f>
        <v>22</v>
      </c>
      <c r="F42" s="317">
        <f>F37+F38-F39-F40</f>
        <v>12</v>
      </c>
      <c r="G42" s="307">
        <f>G37+G38-G39-G40</f>
        <v>431.25099999999986</v>
      </c>
      <c r="H42" s="248">
        <f>H37+H38-H39-H40</f>
        <v>263</v>
      </c>
      <c r="I42" s="108">
        <f aca="true" t="shared" si="4" ref="I42:N42">I37+I38-I39-I40</f>
        <v>0</v>
      </c>
      <c r="J42" s="80">
        <f t="shared" si="4"/>
        <v>0</v>
      </c>
      <c r="K42" s="108">
        <f t="shared" si="4"/>
        <v>0</v>
      </c>
      <c r="L42" s="80">
        <f t="shared" si="4"/>
        <v>0</v>
      </c>
      <c r="M42" s="108">
        <f t="shared" si="4"/>
        <v>0</v>
      </c>
      <c r="N42" s="129">
        <f t="shared" si="4"/>
        <v>0</v>
      </c>
    </row>
    <row r="43" spans="1:14" ht="18" customHeight="1">
      <c r="A43" s="387"/>
      <c r="B43" s="387"/>
      <c r="C43" s="52" t="s">
        <v>265</v>
      </c>
      <c r="D43" s="230" t="s">
        <v>266</v>
      </c>
      <c r="E43" s="224">
        <v>144</v>
      </c>
      <c r="F43" s="325">
        <v>132</v>
      </c>
      <c r="G43" s="309">
        <v>0</v>
      </c>
      <c r="H43" s="250">
        <v>0</v>
      </c>
      <c r="I43" s="135"/>
      <c r="J43" s="129"/>
      <c r="K43" s="135"/>
      <c r="L43" s="129"/>
      <c r="M43" s="135"/>
      <c r="N43" s="129"/>
    </row>
    <row r="44" spans="1:14" ht="18" customHeight="1">
      <c r="A44" s="388"/>
      <c r="B44" s="388"/>
      <c r="C44" s="6" t="s">
        <v>267</v>
      </c>
      <c r="D44" s="102" t="s">
        <v>268</v>
      </c>
      <c r="E44" s="345">
        <f>E41+E43</f>
        <v>166</v>
      </c>
      <c r="F44" s="318">
        <f>F41+F43</f>
        <v>144</v>
      </c>
      <c r="G44" s="310">
        <f>G41+G43</f>
        <v>431.25099999999986</v>
      </c>
      <c r="H44" s="253">
        <f>H41+H43</f>
        <v>263</v>
      </c>
      <c r="I44" s="136">
        <f aca="true" t="shared" si="5" ref="I44:N44">I41+I43</f>
        <v>0</v>
      </c>
      <c r="J44" s="130">
        <f t="shared" si="5"/>
        <v>0</v>
      </c>
      <c r="K44" s="136">
        <f t="shared" si="5"/>
        <v>0</v>
      </c>
      <c r="L44" s="130">
        <f t="shared" si="5"/>
        <v>0</v>
      </c>
      <c r="M44" s="136">
        <f t="shared" si="5"/>
        <v>0</v>
      </c>
      <c r="N44" s="130">
        <f t="shared" si="5"/>
        <v>0</v>
      </c>
    </row>
    <row r="45" ht="13.5" customHeight="1">
      <c r="A45" s="27" t="s">
        <v>269</v>
      </c>
    </row>
    <row r="46" ht="13.5" customHeight="1">
      <c r="A46" s="27" t="s">
        <v>270</v>
      </c>
    </row>
    <row r="47" ht="13.5">
      <c r="A47" s="233"/>
    </row>
  </sheetData>
  <sheetProtection/>
  <mergeCells count="14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</mergeCells>
  <printOptions horizontalCentered="1"/>
  <pageMargins left="0.3937007874015748" right="0.3937007874015748" top="0.1968503937007874" bottom="0.1968503937007874" header="0.2755905511811024" footer="0.2362204724409449"/>
  <pageSetup firstPageNumber="5" useFirstPageNumber="1" fitToHeight="1" fitToWidth="1" horizontalDpi="300" verticalDpi="300" orientation="landscape" paperSize="9" scale="76" r:id="rId1"/>
  <headerFooter alignWithMargins="0">
    <oddHeader>&amp;R&amp;"明朝,斜体"&amp;9指定都市－5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和士</dc:creator>
  <cp:keywords/>
  <dc:description/>
  <cp:lastModifiedBy>yamasaki</cp:lastModifiedBy>
  <dcterms:modified xsi:type="dcterms:W3CDTF">2017-10-31T02:35:48Z</dcterms:modified>
  <cp:category/>
  <cp:version/>
  <cp:contentType/>
  <cp:contentStatus/>
</cp:coreProperties>
</file>