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'5.三セク決算'!$A$1:$Z$46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5.xml><?xml version="1.0" encoding="utf-8"?>
<comments xmlns="http://schemas.openxmlformats.org/spreadsheetml/2006/main">
  <authors>
    <author>松村</author>
    <author>仙波和宏</author>
  </authors>
  <commentList>
    <comment ref="AB6" authorId="0">
      <text>
        <r>
          <rPr>
            <sz val="9"/>
            <rFont val="ＭＳ Ｐゴシック"/>
            <family val="3"/>
          </rPr>
          <t>速報プレスと一致する項目はプレスにあわせる
（決算説明総括表にあわせる）</t>
        </r>
      </text>
    </comment>
    <comment ref="AI6" authorId="0">
      <text>
        <r>
          <rPr>
            <sz val="9"/>
            <rFont val="ＭＳ Ｐゴシック"/>
            <family val="3"/>
          </rPr>
          <t>速報プレスと一致する項目はプレスにあわせる
（決算説明総括表にあわせる）</t>
        </r>
      </text>
    </comment>
    <comment ref="N25" authorId="1">
      <text>
        <r>
          <rPr>
            <b/>
            <sz val="9"/>
            <rFont val="ＭＳ Ｐゴシック"/>
            <family val="3"/>
          </rPr>
          <t>仙波和宏:</t>
        </r>
        <r>
          <rPr>
            <sz val="9"/>
            <rFont val="ＭＳ Ｐゴシック"/>
            <family val="3"/>
          </rPr>
          <t xml:space="preserve">
端数調整　▲１</t>
        </r>
      </text>
    </comment>
  </commentList>
</comments>
</file>

<file path=xl/sharedStrings.xml><?xml version="1.0" encoding="utf-8"?>
<sst xmlns="http://schemas.openxmlformats.org/spreadsheetml/2006/main" count="681" uniqueCount="349">
  <si>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</si>
  <si>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</si>
  <si>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</si>
  <si>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</si>
  <si>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</si>
  <si>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</si>
  <si>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</si>
  <si>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</si>
  <si>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</si>
  <si>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</si>
  <si>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</si>
  <si>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</si>
  <si>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</si>
  <si>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</si>
  <si>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</si>
  <si>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</si>
  <si>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</si>
  <si>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</si>
  <si>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</si>
  <si>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</si>
  <si>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</si>
  <si>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</si>
  <si>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</si>
  <si>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</si>
  <si>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</si>
  <si>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</si>
  <si>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</si>
  <si>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</si>
  <si>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</si>
  <si>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</si>
  <si>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</si>
  <si>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</si>
  <si>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</si>
  <si>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</si>
  <si>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</si>
  <si>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</si>
  <si>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</si>
  <si>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</si>
  <si>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</si>
  <si>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</si>
  <si>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</si>
  <si>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</si>
  <si>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</si>
  <si>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</si>
  <si>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</si>
  <si>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</si>
  <si>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</si>
  <si>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</si>
  <si>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</si>
  <si>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</si>
  <si>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</si>
  <si>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</si>
  <si>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</si>
  <si>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</si>
  <si>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</si>
  <si>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</si>
  <si>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</si>
  <si>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</si>
  <si>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</si>
  <si>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</si>
  <si>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</si>
  <si>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</si>
  <si>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</si>
  <si>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</si>
  <si>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</si>
  <si>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</si>
  <si>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</si>
  <si>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</si>
  <si>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</si>
  <si>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</si>
  <si>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</si>
  <si>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</si>
  <si>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</si>
  <si>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</si>
  <si>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</si>
  <si>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</si>
  <si>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</si>
  <si>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</si>
  <si>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</si>
  <si>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</si>
  <si>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</si>
  <si>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</si>
  <si>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</si>
  <si>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</si>
  <si>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</si>
  <si>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</si>
  <si>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</si>
  <si>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</si>
  <si>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</si>
  <si>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</si>
  <si>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</si>
  <si>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</si>
  <si>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</si>
  <si>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</si>
  <si>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</si>
  <si>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</si>
  <si>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</si>
  <si>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</si>
  <si>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</si>
  <si>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</si>
  <si>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</si>
  <si>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</si>
  <si>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</si>
  <si>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</si>
  <si>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</si>
  <si>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</si>
  <si>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</si>
  <si>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</si>
  <si>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</si>
  <si>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</si>
  <si>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</si>
  <si>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</si>
  <si>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</si>
  <si>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</si>
  <si>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</si>
  <si>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</si>
  <si>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</si>
  <si>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</si>
  <si>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</si>
  <si>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</si>
  <si>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</si>
  <si>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</si>
  <si>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</si>
  <si>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</si>
  <si>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</si>
  <si>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</si>
  <si>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</si>
  <si>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</si>
  <si>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</si>
  <si>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</si>
  <si>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</si>
  <si>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</si>
  <si>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</si>
  <si>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</si>
  <si>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</si>
  <si>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</si>
  <si>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</si>
  <si>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</si>
  <si>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</si>
  <si>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</si>
  <si>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</si>
  <si>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</si>
  <si>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</si>
  <si>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</si>
  <si>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</si>
  <si>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</si>
  <si>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</si>
  <si>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</si>
  <si>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</si>
  <si>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</si>
  <si>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</si>
  <si>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</si>
  <si>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</si>
  <si>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</si>
  <si>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</si>
  <si>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</si>
  <si>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</si>
  <si>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</si>
  <si>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</si>
  <si>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</si>
  <si>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</si>
  <si>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</si>
  <si>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</si>
  <si>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</si>
  <si>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</si>
  <si>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</si>
  <si>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</si>
  <si>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</si>
  <si>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</si>
  <si>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</si>
  <si>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</si>
  <si>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</si>
  <si>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</si>
  <si>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</si>
  <si>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</si>
  <si>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</si>
  <si>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</si>
  <si>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</si>
  <si>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</si>
  <si>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</si>
  <si>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</si>
  <si>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</si>
  <si>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</si>
  <si>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</si>
  <si>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</si>
  <si>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</si>
  <si>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</si>
  <si>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</si>
  <si>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</si>
  <si>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</si>
  <si>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</si>
  <si>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</si>
  <si>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</si>
  <si>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</si>
  <si>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</si>
  <si>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</si>
  <si>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</si>
  <si>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</si>
  <si>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</si>
  <si>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</si>
  <si>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</si>
  <si>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</si>
  <si>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</si>
  <si>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</si>
  <si>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</si>
  <si>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</si>
  <si>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</si>
  <si>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</si>
  <si>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</si>
  <si>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</si>
  <si>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</si>
  <si>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</si>
  <si>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</si>
  <si>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</si>
  <si>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</si>
  <si>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</si>
  <si>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</si>
  <si>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</si>
  <si>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</si>
  <si>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</si>
  <si>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</si>
  <si>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</si>
  <si>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</si>
  <si>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</si>
  <si>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</si>
  <si>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</si>
  <si>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</si>
  <si>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</si>
  <si>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</si>
  <si>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</si>
  <si>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</si>
  <si>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</si>
  <si>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</si>
  <si>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</si>
  <si>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</si>
  <si>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</si>
  <si>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</si>
  <si>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</si>
  <si>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</si>
  <si>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</si>
  <si>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</si>
  <si>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</si>
  <si>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</si>
  <si>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</si>
  <si>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</si>
  <si>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</si>
  <si>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</si>
  <si>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</si>
  <si>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</si>
  <si>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</si>
  <si>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</si>
  <si>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</si>
  <si>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</si>
  <si>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30年度</t>
  </si>
  <si>
    <t>大阪市</t>
  </si>
  <si>
    <t>５.第三セクター(公社・株式会社形態の三セク)の状況</t>
  </si>
  <si>
    <t>(平成28年度決算額）</t>
  </si>
  <si>
    <t>大阪市住宅供給公社</t>
  </si>
  <si>
    <t>（株）湊町開発センター</t>
  </si>
  <si>
    <t>クリスタ長堀（株）</t>
  </si>
  <si>
    <t>大阪港埠頭ターミナル（株）</t>
  </si>
  <si>
    <t>大阪港木材倉庫（株）</t>
  </si>
  <si>
    <t>（株）大阪港トランスポートシステム</t>
  </si>
  <si>
    <t>（株）大阪城ホール</t>
  </si>
  <si>
    <t>大阪港埠頭（株）</t>
  </si>
  <si>
    <t>（株）大阪水道総合サービス</t>
  </si>
  <si>
    <t>大阪シティバス㈱（旧大阪運輸振興㈱）</t>
  </si>
  <si>
    <t>クリアウォーターOSAKA(株)</t>
  </si>
  <si>
    <t>28年度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</si>
  <si>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</si>
  <si>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</si>
  <si>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</si>
  <si>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</si>
  <si>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</si>
  <si>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</si>
  <si>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</si>
  <si>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</si>
  <si>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</si>
  <si>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</si>
  <si>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</si>
  <si>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</si>
  <si>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</si>
  <si>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</si>
  <si>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</si>
  <si>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４.公営企業会計の状況</t>
  </si>
  <si>
    <t>(平成28年度決算ﾍﾞｰｽ）</t>
  </si>
  <si>
    <t>（単位：千円）</t>
  </si>
  <si>
    <t>上水道</t>
  </si>
  <si>
    <t>工業用水道</t>
  </si>
  <si>
    <t>交通</t>
  </si>
  <si>
    <t>下水道</t>
  </si>
  <si>
    <t>港営</t>
  </si>
  <si>
    <t>中央卸売市場</t>
  </si>
  <si>
    <t>交通（平成28年度）</t>
  </si>
  <si>
    <t>単位：百万円</t>
  </si>
  <si>
    <t>港営（平成28年度）</t>
  </si>
  <si>
    <t>28年度</t>
  </si>
  <si>
    <t>自動車</t>
  </si>
  <si>
    <t>高速</t>
  </si>
  <si>
    <t>中量</t>
  </si>
  <si>
    <t>計</t>
  </si>
  <si>
    <t>端数調整</t>
  </si>
  <si>
    <t>積算確認</t>
  </si>
  <si>
    <t>港湾</t>
  </si>
  <si>
    <t>宅地造成</t>
  </si>
  <si>
    <t>(b-e)</t>
  </si>
  <si>
    <t>(c-f)</t>
  </si>
  <si>
    <t>自動車+高速（決算貸借より）</t>
  </si>
  <si>
    <t>自動車+高速（別途照会より）</t>
  </si>
  <si>
    <t>(g)</t>
  </si>
  <si>
    <t>(h)</t>
  </si>
  <si>
    <t>差引不足額 (▲)</t>
  </si>
  <si>
    <t>(i=g-h)</t>
  </si>
  <si>
    <t>差引不足額 (▲)</t>
  </si>
  <si>
    <t>(i=g-h)</t>
  </si>
  <si>
    <t>(j)</t>
  </si>
  <si>
    <t>(j)</t>
  </si>
  <si>
    <t>補てん財源不足額(▲)</t>
  </si>
  <si>
    <t>(i+j)</t>
  </si>
  <si>
    <t>（単位：百万円）</t>
  </si>
  <si>
    <t>食肉市場</t>
  </si>
  <si>
    <t>市街地再開発</t>
  </si>
  <si>
    <t>駐車場</t>
  </si>
  <si>
    <t>介護サービス</t>
  </si>
  <si>
    <t>介護サービス（平成26年度）</t>
  </si>
  <si>
    <t>介護</t>
  </si>
  <si>
    <t>指定</t>
  </si>
  <si>
    <t>(c=a-b)</t>
  </si>
  <si>
    <t>資本的収支</t>
  </si>
  <si>
    <t>-</t>
  </si>
  <si>
    <t>(f=d-e)</t>
  </si>
  <si>
    <t>(g=c+f)</t>
  </si>
  <si>
    <t>（注）原則として表示単位未満を四捨五入して端数調整していないため、合計等と一致しない場合がある。</t>
  </si>
  <si>
    <t>上水道</t>
  </si>
  <si>
    <t>工業用水道</t>
  </si>
  <si>
    <t>交通</t>
  </si>
  <si>
    <t>下水道</t>
  </si>
  <si>
    <t>港営</t>
  </si>
  <si>
    <t>中央卸売市場</t>
  </si>
  <si>
    <t>交通（平成29年度）</t>
  </si>
  <si>
    <t>30年度</t>
  </si>
  <si>
    <t>自動車+高速（予定貸借より）</t>
  </si>
  <si>
    <t>↑税込ベースの補てん財源が不明</t>
  </si>
  <si>
    <t>食肉市場</t>
  </si>
  <si>
    <t>駐車場</t>
  </si>
  <si>
    <t>介護サービス</t>
  </si>
  <si>
    <t>大阪市</t>
  </si>
  <si>
    <t>大阪市</t>
  </si>
  <si>
    <t>大阪市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</si>
</sst>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2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5" fontId="0" fillId="0" borderId="80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214" fontId="0" fillId="0" borderId="77" xfId="48" applyNumberFormat="1" applyFont="1" applyBorder="1" applyAlignment="1">
      <alignment horizontal="right" vertical="center"/>
    </xf>
    <xf numFmtId="215" fontId="0" fillId="0" borderId="74" xfId="48" applyNumberFormat="1" applyFont="1" applyBorder="1" applyAlignment="1">
      <alignment vertical="center"/>
    </xf>
    <xf numFmtId="41" fontId="0" fillId="0" borderId="73" xfId="0" applyNumberFormat="1" applyBorder="1" applyAlignment="1">
      <alignment horizontal="center" vertical="center"/>
    </xf>
    <xf numFmtId="214" fontId="0" fillId="0" borderId="36" xfId="48" applyNumberFormat="1" applyFont="1" applyFill="1" applyBorder="1" applyAlignment="1">
      <alignment horizontal="right" vertical="center"/>
    </xf>
    <xf numFmtId="214" fontId="0" fillId="0" borderId="82" xfId="48" applyNumberFormat="1" applyFill="1" applyBorder="1" applyAlignment="1">
      <alignment vertical="center"/>
    </xf>
    <xf numFmtId="214" fontId="0" fillId="0" borderId="23" xfId="48" applyNumberForma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Continuous" vertical="center"/>
    </xf>
    <xf numFmtId="41" fontId="4" fillId="0" borderId="1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6" fillId="0" borderId="13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12" xfId="0" applyNumberFormat="1" applyFill="1" applyBorder="1" applyAlignment="1">
      <alignment horizontal="centerContinuous" vertical="center"/>
    </xf>
    <xf numFmtId="41" fontId="0" fillId="0" borderId="13" xfId="0" applyNumberFormat="1" applyFill="1" applyBorder="1" applyAlignment="1">
      <alignment horizontal="centerContinuous" vertical="center"/>
    </xf>
    <xf numFmtId="41" fontId="0" fillId="0" borderId="63" xfId="0" applyNumberFormat="1" applyFill="1" applyBorder="1" applyAlignment="1">
      <alignment horizontal="center" vertical="center"/>
    </xf>
    <xf numFmtId="41" fontId="0" fillId="0" borderId="31" xfId="0" applyNumberFormat="1" applyFill="1" applyBorder="1" applyAlignment="1">
      <alignment horizontal="center" vertical="center"/>
    </xf>
    <xf numFmtId="41" fontId="0" fillId="0" borderId="68" xfId="0" applyNumberFormat="1" applyFill="1" applyBorder="1" applyAlignment="1">
      <alignment horizontal="center" vertical="center"/>
    </xf>
    <xf numFmtId="41" fontId="0" fillId="0" borderId="71" xfId="0" applyNumberFormat="1" applyFont="1" applyFill="1" applyBorder="1" applyAlignment="1">
      <alignment vertical="center"/>
    </xf>
    <xf numFmtId="0" fontId="0" fillId="0" borderId="72" xfId="0" applyFill="1" applyBorder="1" applyAlignment="1">
      <alignment horizontal="distributed" vertical="center"/>
    </xf>
    <xf numFmtId="214" fontId="0" fillId="0" borderId="83" xfId="48" applyNumberFormat="1" applyFill="1" applyBorder="1" applyAlignment="1">
      <alignment horizontal="center" vertical="center"/>
    </xf>
    <xf numFmtId="214" fontId="0" fillId="0" borderId="84" xfId="48" applyNumberFormat="1" applyFill="1" applyBorder="1" applyAlignment="1">
      <alignment horizontal="center" vertical="center"/>
    </xf>
    <xf numFmtId="214" fontId="0" fillId="0" borderId="80" xfId="48" applyNumberFormat="1" applyFill="1" applyBorder="1" applyAlignment="1">
      <alignment horizontal="center" vertical="center"/>
    </xf>
    <xf numFmtId="214" fontId="0" fillId="0" borderId="85" xfId="48" applyNumberForma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214" fontId="0" fillId="0" borderId="19" xfId="48" applyNumberFormat="1" applyFill="1" applyBorder="1" applyAlignment="1">
      <alignment horizontal="center" vertical="center"/>
    </xf>
    <xf numFmtId="214" fontId="0" fillId="0" borderId="18" xfId="48" applyNumberFormat="1" applyFill="1" applyBorder="1" applyAlignment="1">
      <alignment horizontal="center" vertical="center"/>
    </xf>
    <xf numFmtId="214" fontId="0" fillId="0" borderId="65" xfId="48" applyNumberFormat="1" applyFill="1" applyBorder="1" applyAlignment="1">
      <alignment horizontal="center" vertical="center"/>
    </xf>
    <xf numFmtId="214" fontId="0" fillId="0" borderId="86" xfId="48" applyNumberFormat="1" applyFill="1" applyBorder="1" applyAlignment="1">
      <alignment horizontal="center" vertical="center"/>
    </xf>
    <xf numFmtId="214" fontId="0" fillId="0" borderId="59" xfId="48" applyNumberFormat="1" applyFill="1" applyBorder="1" applyAlignment="1">
      <alignment horizontal="center" vertical="center"/>
    </xf>
    <xf numFmtId="214" fontId="0" fillId="0" borderId="16" xfId="48" applyNumberFormat="1" applyFill="1" applyBorder="1" applyAlignment="1">
      <alignment horizontal="center" vertical="center"/>
    </xf>
    <xf numFmtId="214" fontId="0" fillId="0" borderId="66" xfId="48" applyNumberFormat="1" applyFill="1" applyBorder="1" applyAlignment="1">
      <alignment horizontal="center" vertical="center"/>
    </xf>
    <xf numFmtId="214" fontId="0" fillId="0" borderId="82" xfId="48" applyNumberFormat="1" applyFill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right" vertical="center"/>
    </xf>
    <xf numFmtId="214" fontId="0" fillId="0" borderId="36" xfId="48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4" fontId="0" fillId="0" borderId="61" xfId="48" applyNumberFormat="1" applyFont="1" applyFill="1" applyBorder="1" applyAlignment="1">
      <alignment horizontal="right" vertical="center"/>
    </xf>
    <xf numFmtId="214" fontId="0" fillId="0" borderId="35" xfId="48" applyNumberFormat="1" applyFill="1" applyBorder="1" applyAlignment="1">
      <alignment horizontal="center" vertical="center"/>
    </xf>
    <xf numFmtId="214" fontId="0" fillId="0" borderId="61" xfId="48" applyNumberFormat="1" applyFill="1" applyBorder="1" applyAlignment="1">
      <alignment horizontal="center" vertical="center"/>
    </xf>
    <xf numFmtId="214" fontId="0" fillId="0" borderId="22" xfId="48" applyNumberFormat="1" applyFill="1" applyBorder="1" applyAlignment="1">
      <alignment horizontal="center" vertical="center"/>
    </xf>
    <xf numFmtId="221" fontId="0" fillId="0" borderId="61" xfId="48" applyNumberFormat="1" applyFill="1" applyBorder="1" applyAlignment="1">
      <alignment horizontal="right" vertical="center"/>
    </xf>
    <xf numFmtId="214" fontId="0" fillId="0" borderId="12" xfId="48" applyNumberFormat="1" applyFill="1" applyBorder="1" applyAlignment="1">
      <alignment horizontal="center" vertical="center"/>
    </xf>
    <xf numFmtId="214" fontId="0" fillId="0" borderId="87" xfId="48" applyNumberFormat="1" applyFill="1" applyBorder="1" applyAlignment="1">
      <alignment horizontal="center" vertical="center"/>
    </xf>
    <xf numFmtId="214" fontId="0" fillId="0" borderId="88" xfId="48" applyNumberFormat="1" applyFill="1" applyBorder="1" applyAlignment="1">
      <alignment vertical="center"/>
    </xf>
    <xf numFmtId="214" fontId="0" fillId="0" borderId="42" xfId="48" applyNumberFormat="1" applyFill="1" applyBorder="1" applyAlignment="1">
      <alignment vertical="center"/>
    </xf>
    <xf numFmtId="214" fontId="0" fillId="0" borderId="67" xfId="48" applyNumberFormat="1" applyFill="1" applyBorder="1" applyAlignment="1">
      <alignment vertical="center"/>
    </xf>
    <xf numFmtId="214" fontId="0" fillId="0" borderId="89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16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62" xfId="48" applyNumberFormat="1" applyFill="1" applyBorder="1" applyAlignment="1">
      <alignment vertical="center"/>
    </xf>
    <xf numFmtId="214" fontId="0" fillId="0" borderId="9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214" fontId="0" fillId="0" borderId="22" xfId="48" applyNumberFormat="1" applyFill="1" applyBorder="1" applyAlignment="1">
      <alignment vertical="center"/>
    </xf>
    <xf numFmtId="214" fontId="0" fillId="0" borderId="91" xfId="48" applyNumberFormat="1" applyFill="1" applyBorder="1" applyAlignment="1">
      <alignment vertical="center"/>
    </xf>
    <xf numFmtId="214" fontId="0" fillId="0" borderId="87" xfId="48" applyNumberFormat="1" applyFill="1" applyBorder="1" applyAlignment="1">
      <alignment vertical="center"/>
    </xf>
    <xf numFmtId="41" fontId="0" fillId="0" borderId="40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left" vertical="center"/>
    </xf>
    <xf numFmtId="214" fontId="0" fillId="0" borderId="40" xfId="48" applyNumberFormat="1" applyFill="1" applyBorder="1" applyAlignment="1">
      <alignment vertical="center"/>
    </xf>
    <xf numFmtId="214" fontId="0" fillId="0" borderId="35" xfId="48" applyNumberFormat="1" applyFill="1" applyBorder="1" applyAlignment="1">
      <alignment vertical="center"/>
    </xf>
    <xf numFmtId="214" fontId="0" fillId="0" borderId="71" xfId="48" applyNumberFormat="1" applyFill="1" applyBorder="1" applyAlignment="1">
      <alignment vertical="center"/>
    </xf>
    <xf numFmtId="41" fontId="0" fillId="0" borderId="15" xfId="0" applyNumberFormat="1" applyFill="1" applyBorder="1" applyAlignment="1" quotePrefix="1">
      <alignment horizontal="right" vertical="center"/>
    </xf>
    <xf numFmtId="41" fontId="0" fillId="0" borderId="37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214" fontId="0" fillId="0" borderId="38" xfId="48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221" fontId="0" fillId="0" borderId="23" xfId="48" applyNumberForma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21" fontId="0" fillId="0" borderId="36" xfId="48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14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0" fillId="22" borderId="69" xfId="0" applyNumberFormat="1" applyFill="1" applyBorder="1" applyAlignment="1">
      <alignment horizontal="center" vertical="center"/>
    </xf>
    <xf numFmtId="0" fontId="0" fillId="22" borderId="69" xfId="0" applyNumberFormat="1" applyFont="1" applyFill="1" applyBorder="1" applyAlignment="1">
      <alignment horizontal="center" vertical="center"/>
    </xf>
    <xf numFmtId="41" fontId="0" fillId="22" borderId="69" xfId="0" applyNumberFormat="1" applyFill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53" fillId="0" borderId="0" xfId="0" applyNumberFormat="1" applyFont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41" fontId="0" fillId="0" borderId="69" xfId="0" applyNumberFormat="1" applyFont="1" applyFill="1" applyBorder="1" applyAlignment="1">
      <alignment horizontal="center" vertical="center"/>
    </xf>
    <xf numFmtId="222" fontId="0" fillId="22" borderId="74" xfId="48" applyNumberFormat="1" applyFont="1" applyFill="1" applyBorder="1" applyAlignment="1">
      <alignment vertical="center"/>
    </xf>
    <xf numFmtId="222" fontId="0" fillId="22" borderId="74" xfId="0" applyNumberForma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53" fillId="0" borderId="0" xfId="0" applyNumberFormat="1" applyFont="1" applyAlignment="1">
      <alignment vertical="center"/>
    </xf>
    <xf numFmtId="222" fontId="0" fillId="0" borderId="74" xfId="48" applyNumberFormat="1" applyFont="1" applyBorder="1" applyAlignment="1">
      <alignment vertical="center"/>
    </xf>
    <xf numFmtId="222" fontId="0" fillId="0" borderId="74" xfId="0" applyNumberFormat="1" applyFont="1" applyFill="1" applyBorder="1" applyAlignment="1">
      <alignment vertical="center"/>
    </xf>
    <xf numFmtId="222" fontId="0" fillId="0" borderId="74" xfId="0" applyNumberFormat="1" applyBorder="1" applyAlignment="1">
      <alignment vertical="center"/>
    </xf>
    <xf numFmtId="222" fontId="0" fillId="22" borderId="76" xfId="48" applyNumberFormat="1" applyFont="1" applyFill="1" applyBorder="1" applyAlignment="1">
      <alignment vertical="center"/>
    </xf>
    <xf numFmtId="222" fontId="0" fillId="22" borderId="76" xfId="0" applyNumberFormat="1" applyFill="1" applyBorder="1" applyAlignment="1">
      <alignment vertical="center"/>
    </xf>
    <xf numFmtId="222" fontId="0" fillId="0" borderId="76" xfId="48" applyNumberFormat="1" applyFont="1" applyBorder="1" applyAlignment="1">
      <alignment vertical="center"/>
    </xf>
    <xf numFmtId="222" fontId="0" fillId="0" borderId="76" xfId="0" applyNumberFormat="1" applyFont="1" applyFill="1" applyBorder="1" applyAlignment="1">
      <alignment vertical="center"/>
    </xf>
    <xf numFmtId="222" fontId="0" fillId="0" borderId="76" xfId="0" applyNumberFormat="1" applyBorder="1" applyAlignment="1">
      <alignment vertical="center"/>
    </xf>
    <xf numFmtId="222" fontId="0" fillId="22" borderId="76" xfId="48" applyNumberFormat="1" applyFill="1" applyBorder="1" applyAlignment="1">
      <alignment vertical="center"/>
    </xf>
    <xf numFmtId="222" fontId="0" fillId="0" borderId="76" xfId="48" applyNumberFormat="1" applyBorder="1" applyAlignment="1">
      <alignment vertical="center"/>
    </xf>
    <xf numFmtId="222" fontId="0" fillId="0" borderId="76" xfId="48" applyNumberFormat="1" applyFont="1" applyFill="1" applyBorder="1" applyAlignment="1">
      <alignment vertical="center"/>
    </xf>
    <xf numFmtId="222" fontId="0" fillId="22" borderId="76" xfId="0" applyNumberFormat="1" applyFont="1" applyFill="1" applyBorder="1" applyAlignment="1" quotePrefix="1">
      <alignment horizontal="right" vertical="center"/>
    </xf>
    <xf numFmtId="222" fontId="0" fillId="0" borderId="76" xfId="0" applyNumberFormat="1" applyFont="1" applyBorder="1" applyAlignment="1" quotePrefix="1">
      <alignment horizontal="right" vertical="center"/>
    </xf>
    <xf numFmtId="222" fontId="0" fillId="22" borderId="78" xfId="48" applyNumberFormat="1" applyFont="1" applyFill="1" applyBorder="1" applyAlignment="1" quotePrefix="1">
      <alignment horizontal="right" vertical="center"/>
    </xf>
    <xf numFmtId="222" fontId="0" fillId="22" borderId="78" xfId="0" applyNumberFormat="1" applyFill="1" applyBorder="1" applyAlignment="1">
      <alignment vertical="center"/>
    </xf>
    <xf numFmtId="222" fontId="0" fillId="0" borderId="78" xfId="48" applyNumberFormat="1" applyFont="1" applyBorder="1" applyAlignment="1" quotePrefix="1">
      <alignment horizontal="right" vertical="center"/>
    </xf>
    <xf numFmtId="222" fontId="0" fillId="0" borderId="78" xfId="0" applyNumberFormat="1" applyFont="1" applyFill="1" applyBorder="1" applyAlignment="1">
      <alignment vertical="center"/>
    </xf>
    <xf numFmtId="222" fontId="0" fillId="0" borderId="78" xfId="0" applyNumberFormat="1" applyBorder="1" applyAlignment="1">
      <alignment vertical="center"/>
    </xf>
    <xf numFmtId="41" fontId="0" fillId="0" borderId="0" xfId="0" applyNumberFormat="1" applyFont="1" applyBorder="1" applyAlignment="1">
      <alignment horizontal="center" vertical="center"/>
    </xf>
    <xf numFmtId="222" fontId="0" fillId="22" borderId="78" xfId="48" applyNumberFormat="1" applyFill="1" applyBorder="1" applyAlignment="1">
      <alignment vertical="center"/>
    </xf>
    <xf numFmtId="222" fontId="0" fillId="0" borderId="78" xfId="48" applyNumberFormat="1" applyBorder="1" applyAlignment="1">
      <alignment vertical="center"/>
    </xf>
    <xf numFmtId="222" fontId="0" fillId="0" borderId="78" xfId="48" applyNumberFormat="1" applyFont="1" applyFill="1" applyBorder="1" applyAlignment="1">
      <alignment vertical="center"/>
    </xf>
    <xf numFmtId="0" fontId="0" fillId="0" borderId="73" xfId="0" applyNumberFormat="1" applyFont="1" applyBorder="1" applyAlignment="1">
      <alignment horizontal="center" vertical="center"/>
    </xf>
    <xf numFmtId="214" fontId="0" fillId="0" borderId="92" xfId="48" applyNumberFormat="1" applyFont="1" applyBorder="1" applyAlignment="1">
      <alignment vertical="center"/>
    </xf>
    <xf numFmtId="214" fontId="0" fillId="0" borderId="48" xfId="48" applyNumberFormat="1" applyFont="1" applyBorder="1" applyAlignment="1">
      <alignment vertical="center"/>
    </xf>
    <xf numFmtId="214" fontId="0" fillId="0" borderId="21" xfId="48" applyNumberFormat="1" applyFont="1" applyBorder="1" applyAlignment="1">
      <alignment vertical="center"/>
    </xf>
    <xf numFmtId="214" fontId="0" fillId="0" borderId="77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76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14" fontId="0" fillId="0" borderId="75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14" fontId="0" fillId="0" borderId="93" xfId="48" applyNumberFormat="1" applyFont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214" fontId="0" fillId="0" borderId="68" xfId="48" applyNumberFormat="1" applyFont="1" applyBorder="1" applyAlignment="1">
      <alignment vertical="center"/>
    </xf>
    <xf numFmtId="214" fontId="0" fillId="0" borderId="70" xfId="48" applyNumberFormat="1" applyBorder="1" applyAlignment="1">
      <alignment vertical="center"/>
    </xf>
    <xf numFmtId="214" fontId="0" fillId="0" borderId="76" xfId="48" applyNumberFormat="1" applyFont="1" applyBorder="1" applyAlignment="1" quotePrefix="1">
      <alignment horizontal="right" vertical="center"/>
    </xf>
    <xf numFmtId="214" fontId="0" fillId="0" borderId="70" xfId="48" applyNumberFormat="1" applyFont="1" applyBorder="1" applyAlignment="1" quotePrefix="1">
      <alignment horizontal="right" vertical="center"/>
    </xf>
    <xf numFmtId="214" fontId="0" fillId="0" borderId="20" xfId="48" applyNumberFormat="1" applyFont="1" applyBorder="1" applyAlignment="1" quotePrefix="1">
      <alignment horizontal="right" vertical="center"/>
    </xf>
    <xf numFmtId="214" fontId="0" fillId="0" borderId="74" xfId="48" applyNumberFormat="1" applyBorder="1" applyAlignment="1">
      <alignment vertical="center"/>
    </xf>
    <xf numFmtId="214" fontId="0" fillId="0" borderId="79" xfId="48" applyNumberFormat="1" applyBorder="1" applyAlignment="1">
      <alignment vertical="center"/>
    </xf>
    <xf numFmtId="214" fontId="0" fillId="0" borderId="76" xfId="48" applyNumberForma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33" borderId="69" xfId="0" applyNumberFormat="1" applyFont="1" applyFill="1" applyBorder="1" applyAlignment="1">
      <alignment horizontal="center" vertical="center"/>
    </xf>
    <xf numFmtId="41" fontId="0" fillId="33" borderId="69" xfId="0" applyNumberFormat="1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48" xfId="0" applyNumberFormat="1" applyFont="1" applyBorder="1" applyAlignment="1">
      <alignment horizontal="right" vertical="center"/>
    </xf>
    <xf numFmtId="222" fontId="0" fillId="33" borderId="74" xfId="48" applyNumberFormat="1" applyFont="1" applyFill="1" applyBorder="1" applyAlignment="1">
      <alignment vertical="center"/>
    </xf>
    <xf numFmtId="222" fontId="0" fillId="33" borderId="74" xfId="0" applyNumberFormat="1" applyFont="1" applyFill="1" applyBorder="1" applyAlignment="1">
      <alignment vertical="center"/>
    </xf>
    <xf numFmtId="41" fontId="0" fillId="0" borderId="16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34" xfId="0" applyNumberFormat="1" applyFont="1" applyBorder="1" applyAlignment="1">
      <alignment horizontal="right" vertical="center"/>
    </xf>
    <xf numFmtId="222" fontId="0" fillId="33" borderId="76" xfId="48" applyNumberFormat="1" applyFont="1" applyFill="1" applyBorder="1" applyAlignment="1">
      <alignment vertical="center"/>
    </xf>
    <xf numFmtId="222" fontId="0" fillId="33" borderId="76" xfId="0" applyNumberFormat="1" applyFont="1" applyFill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left" vertical="center"/>
    </xf>
    <xf numFmtId="41" fontId="0" fillId="0" borderId="45" xfId="0" applyNumberFormat="1" applyFont="1" applyBorder="1" applyAlignment="1">
      <alignment horizontal="left" vertical="center"/>
    </xf>
    <xf numFmtId="41" fontId="0" fillId="0" borderId="52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left" vertical="center"/>
    </xf>
    <xf numFmtId="41" fontId="0" fillId="0" borderId="50" xfId="0" applyNumberFormat="1" applyFont="1" applyBorder="1" applyAlignment="1">
      <alignment horizontal="right" vertical="center"/>
    </xf>
    <xf numFmtId="41" fontId="0" fillId="0" borderId="36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center" vertical="center"/>
    </xf>
    <xf numFmtId="222" fontId="0" fillId="33" borderId="76" xfId="0" applyNumberFormat="1" applyFont="1" applyFill="1" applyBorder="1" applyAlignment="1" quotePrefix="1">
      <alignment horizontal="right"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13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222" fontId="0" fillId="33" borderId="78" xfId="48" applyNumberFormat="1" applyFont="1" applyFill="1" applyBorder="1" applyAlignment="1" quotePrefix="1">
      <alignment horizontal="right" vertical="center"/>
    </xf>
    <xf numFmtId="222" fontId="0" fillId="33" borderId="78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55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left" vertical="center"/>
    </xf>
    <xf numFmtId="41" fontId="0" fillId="0" borderId="56" xfId="0" applyNumberFormat="1" applyFont="1" applyBorder="1" applyAlignment="1">
      <alignment horizontal="left" vertical="center"/>
    </xf>
    <xf numFmtId="41" fontId="0" fillId="0" borderId="20" xfId="0" applyNumberFormat="1" applyFont="1" applyBorder="1" applyAlignment="1">
      <alignment horizontal="right" vertical="center"/>
    </xf>
    <xf numFmtId="222" fontId="0" fillId="33" borderId="78" xfId="48" applyNumberFormat="1" applyFont="1" applyFill="1" applyBorder="1" applyAlignment="1">
      <alignment vertical="center"/>
    </xf>
    <xf numFmtId="203" fontId="0" fillId="0" borderId="0" xfId="0" applyNumberFormat="1" applyFont="1" applyAlignment="1">
      <alignment vertical="center"/>
    </xf>
    <xf numFmtId="0" fontId="0" fillId="0" borderId="61" xfId="0" applyNumberFormat="1" applyFill="1" applyBorder="1" applyAlignment="1">
      <alignment horizontal="center" vertical="center"/>
    </xf>
    <xf numFmtId="203" fontId="0" fillId="0" borderId="35" xfId="0" applyNumberFormat="1" applyFont="1" applyFill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92" xfId="0" applyNumberFormat="1" applyBorder="1" applyAlignment="1">
      <alignment horizontal="center" vertical="center"/>
    </xf>
    <xf numFmtId="41" fontId="0" fillId="0" borderId="93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0" fillId="33" borderId="69" xfId="0" applyNumberFormat="1" applyFont="1" applyFill="1" applyBorder="1" applyAlignment="1">
      <alignment horizontal="center" vertical="center"/>
    </xf>
    <xf numFmtId="41" fontId="0" fillId="33" borderId="92" xfId="0" applyNumberFormat="1" applyFill="1" applyBorder="1" applyAlignment="1">
      <alignment horizontal="center" vertical="center" wrapText="1"/>
    </xf>
    <xf numFmtId="41" fontId="0" fillId="33" borderId="70" xfId="0" applyNumberFormat="1" applyFill="1" applyBorder="1" applyAlignment="1">
      <alignment horizontal="center" vertical="center"/>
    </xf>
    <xf numFmtId="217" fontId="10" fillId="0" borderId="92" xfId="48" applyNumberFormat="1" applyFont="1" applyBorder="1" applyAlignment="1">
      <alignment vertical="center" textRotation="255"/>
    </xf>
    <xf numFmtId="217" fontId="10" fillId="0" borderId="93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22" fontId="0" fillId="33" borderId="76" xfId="48" applyNumberFormat="1" applyFont="1" applyFill="1" applyBorder="1" applyAlignment="1">
      <alignment vertical="center"/>
    </xf>
    <xf numFmtId="222" fontId="0" fillId="33" borderId="76" xfId="0" applyNumberFormat="1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9" xfId="0" applyNumberFormat="1" applyFont="1" applyFill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0" fontId="13" fillId="0" borderId="93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0" fontId="13" fillId="0" borderId="93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22" fontId="0" fillId="22" borderId="76" xfId="48" applyNumberFormat="1" applyFont="1" applyFill="1" applyBorder="1" applyAlignment="1">
      <alignment vertical="center"/>
    </xf>
    <xf numFmtId="222" fontId="0" fillId="22" borderId="76" xfId="0" applyNumberFormat="1" applyFont="1" applyFill="1" applyBorder="1" applyAlignment="1">
      <alignment vertical="center"/>
    </xf>
    <xf numFmtId="41" fontId="0" fillId="0" borderId="50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22" borderId="69" xfId="0" applyNumberFormat="1" applyFont="1" applyFill="1" applyBorder="1" applyAlignment="1">
      <alignment horizontal="center" vertical="center"/>
    </xf>
    <xf numFmtId="0" fontId="0" fillId="22" borderId="69" xfId="0" applyNumberFormat="1" applyFont="1" applyFill="1" applyBorder="1" applyAlignment="1">
      <alignment horizontal="center" vertical="center"/>
    </xf>
    <xf numFmtId="41" fontId="0" fillId="22" borderId="92" xfId="0" applyNumberFormat="1" applyFill="1" applyBorder="1" applyAlignment="1">
      <alignment horizontal="center" vertical="center" wrapText="1"/>
    </xf>
    <xf numFmtId="41" fontId="0" fillId="22" borderId="70" xfId="0" applyNumberFormat="1" applyFill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41" fontId="0" fillId="0" borderId="69" xfId="0" applyNumberFormat="1" applyFill="1" applyBorder="1" applyAlignment="1">
      <alignment horizontal="center" vertical="center" wrapText="1"/>
    </xf>
    <xf numFmtId="41" fontId="0" fillId="0" borderId="69" xfId="0" applyNumberFormat="1" applyFill="1" applyBorder="1" applyAlignment="1">
      <alignment horizontal="center" vertical="center"/>
    </xf>
    <xf numFmtId="222" fontId="0" fillId="0" borderId="76" xfId="48" applyNumberFormat="1" applyFont="1" applyFill="1" applyBorder="1" applyAlignment="1">
      <alignment vertical="center"/>
    </xf>
    <xf numFmtId="222" fontId="0" fillId="0" borderId="76" xfId="0" applyNumberFormat="1" applyFont="1" applyFill="1" applyBorder="1" applyAlignment="1">
      <alignment vertical="center"/>
    </xf>
    <xf numFmtId="222" fontId="0" fillId="0" borderId="76" xfId="48" applyNumberFormat="1" applyFont="1" applyBorder="1" applyAlignment="1">
      <alignment vertical="center"/>
    </xf>
    <xf numFmtId="222" fontId="0" fillId="0" borderId="76" xfId="0" applyNumberFormat="1" applyFont="1" applyBorder="1" applyAlignment="1">
      <alignment vertical="center"/>
    </xf>
    <xf numFmtId="222" fontId="0" fillId="0" borderId="77" xfId="0" applyNumberFormat="1" applyBorder="1" applyAlignment="1">
      <alignment vertical="center"/>
    </xf>
    <xf numFmtId="222" fontId="0" fillId="0" borderId="75" xfId="0" applyNumberFormat="1" applyBorder="1" applyAlignment="1">
      <alignment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9" xfId="0" applyNumberFormat="1" applyFont="1" applyFill="1" applyBorder="1" applyAlignment="1">
      <alignment horizontal="center" vertical="center"/>
    </xf>
    <xf numFmtId="203" fontId="0" fillId="0" borderId="10" xfId="0" applyNumberFormat="1" applyFont="1" applyBorder="1" applyAlignment="1">
      <alignment horizontal="center" vertical="center"/>
    </xf>
    <xf numFmtId="203" fontId="0" fillId="0" borderId="11" xfId="0" applyNumberFormat="1" applyFont="1" applyBorder="1" applyAlignment="1">
      <alignment horizontal="center" vertical="center"/>
    </xf>
    <xf numFmtId="203" fontId="0" fillId="0" borderId="48" xfId="0" applyNumberFormat="1" applyFont="1" applyBorder="1" applyAlignment="1">
      <alignment horizontal="center" vertical="center"/>
    </xf>
    <xf numFmtId="222" fontId="0" fillId="22" borderId="76" xfId="0" applyNumberFormat="1" applyFill="1" applyBorder="1" applyAlignment="1">
      <alignment horizontal="center" vertical="center"/>
    </xf>
    <xf numFmtId="222" fontId="0" fillId="22" borderId="76" xfId="0" applyNumberFormat="1" applyFont="1" applyFill="1" applyBorder="1" applyAlignment="1">
      <alignment vertical="center"/>
    </xf>
    <xf numFmtId="41" fontId="16" fillId="0" borderId="36" xfId="0" applyNumberFormat="1" applyFont="1" applyFill="1" applyBorder="1" applyAlignment="1">
      <alignment horizontal="right" vertical="center"/>
    </xf>
    <xf numFmtId="41" fontId="16" fillId="0" borderId="34" xfId="0" applyNumberFormat="1" applyFont="1" applyFill="1" applyBorder="1" applyAlignment="1">
      <alignment horizontal="right" vertical="center"/>
    </xf>
    <xf numFmtId="0" fontId="0" fillId="0" borderId="92" xfId="0" applyNumberFormat="1" applyFill="1" applyBorder="1" applyAlignment="1">
      <alignment horizontal="center" vertical="center" textRotation="255"/>
    </xf>
    <xf numFmtId="0" fontId="0" fillId="0" borderId="93" xfId="0" applyFill="1" applyBorder="1" applyAlignment="1">
      <alignment horizontal="center" vertical="center" textRotation="255"/>
    </xf>
    <xf numFmtId="0" fontId="0" fillId="0" borderId="70" xfId="0" applyFill="1" applyBorder="1" applyAlignment="1">
      <alignment horizontal="center" vertical="center" textRotation="255"/>
    </xf>
    <xf numFmtId="0" fontId="0" fillId="0" borderId="92" xfId="0" applyFill="1" applyBorder="1" applyAlignment="1">
      <alignment horizontal="center" vertical="center" textRotation="255"/>
    </xf>
    <xf numFmtId="41" fontId="0" fillId="0" borderId="23" xfId="0" applyNumberFormat="1" applyFont="1" applyFill="1" applyBorder="1" applyAlignment="1">
      <alignment horizontal="center" vertical="center" shrinkToFit="1"/>
    </xf>
    <xf numFmtId="41" fontId="0" fillId="0" borderId="79" xfId="0" applyNumberFormat="1" applyFont="1" applyFill="1" applyBorder="1" applyAlignment="1">
      <alignment horizontal="center" vertical="center" shrinkToFit="1"/>
    </xf>
    <xf numFmtId="41" fontId="0" fillId="0" borderId="23" xfId="0" applyNumberFormat="1" applyFont="1" applyFill="1" applyBorder="1" applyAlignment="1">
      <alignment horizontal="center" vertical="center"/>
    </xf>
    <xf numFmtId="41" fontId="0" fillId="0" borderId="7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30" sqref="F30:K31"/>
      <selection pane="topRight" activeCell="F30" sqref="F30:K31"/>
      <selection pane="bottomLeft" activeCell="F30" sqref="F30:K31"/>
      <selection pane="bottomRight" activeCell="E5" sqref="E5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429" t="s">
        <v>0</v>
      </c>
      <c r="B1" s="429"/>
      <c r="C1" s="429"/>
      <c r="D1" s="429"/>
      <c r="E1" s="76" t="s">
        <v>346</v>
      </c>
      <c r="F1" s="2"/>
      <c r="AA1" s="445" t="s">
        <v>105</v>
      </c>
      <c r="AB1" s="445"/>
    </row>
    <row r="2" spans="27:37" ht="13.5">
      <c r="AA2" s="444" t="s">
        <v>106</v>
      </c>
      <c r="AB2" s="444"/>
      <c r="AC2" s="438" t="s">
        <v>107</v>
      </c>
      <c r="AD2" s="435" t="s">
        <v>108</v>
      </c>
      <c r="AE2" s="446"/>
      <c r="AF2" s="447"/>
      <c r="AG2" s="444" t="s">
        <v>109</v>
      </c>
      <c r="AH2" s="444" t="s">
        <v>110</v>
      </c>
      <c r="AI2" s="444" t="s">
        <v>111</v>
      </c>
      <c r="AJ2" s="444" t="s">
        <v>112</v>
      </c>
      <c r="AK2" s="444" t="s">
        <v>113</v>
      </c>
    </row>
    <row r="3" spans="1:37" ht="14.25">
      <c r="A3" s="22" t="s">
        <v>104</v>
      </c>
      <c r="AA3" s="444"/>
      <c r="AB3" s="444"/>
      <c r="AC3" s="440"/>
      <c r="AD3" s="165"/>
      <c r="AE3" s="164" t="s">
        <v>126</v>
      </c>
      <c r="AF3" s="164" t="s">
        <v>127</v>
      </c>
      <c r="AG3" s="444"/>
      <c r="AH3" s="444"/>
      <c r="AI3" s="444"/>
      <c r="AJ3" s="444"/>
      <c r="AK3" s="444"/>
    </row>
    <row r="4" spans="27:38" ht="13.5">
      <c r="AA4" s="438" t="str">
        <f>E1</f>
        <v>大阪市</v>
      </c>
      <c r="AB4" s="166" t="s">
        <v>114</v>
      </c>
      <c r="AC4" s="167">
        <f>F22</f>
        <v>1817322</v>
      </c>
      <c r="AD4" s="167">
        <f>F9</f>
        <v>716434</v>
      </c>
      <c r="AE4" s="167">
        <f>F10</f>
        <v>317633</v>
      </c>
      <c r="AF4" s="167">
        <f>F13</f>
        <v>281801</v>
      </c>
      <c r="AG4" s="167">
        <f>F14</f>
        <v>5900</v>
      </c>
      <c r="AH4" s="167">
        <f>F15</f>
        <v>46000</v>
      </c>
      <c r="AI4" s="167">
        <f>F17</f>
        <v>420099</v>
      </c>
      <c r="AJ4" s="167">
        <f>F20</f>
        <v>136365</v>
      </c>
      <c r="AK4" s="167">
        <f>F21</f>
        <v>325962</v>
      </c>
      <c r="AL4" s="168"/>
    </row>
    <row r="5" spans="1:37" ht="13.5">
      <c r="A5" s="21" t="s">
        <v>245</v>
      </c>
      <c r="AA5" s="439"/>
      <c r="AB5" s="166" t="s">
        <v>115</v>
      </c>
      <c r="AC5" s="169"/>
      <c r="AD5" s="169">
        <f>G9</f>
        <v>39.42251290635341</v>
      </c>
      <c r="AE5" s="169">
        <f>G10</f>
        <v>17.478080384213694</v>
      </c>
      <c r="AF5" s="169">
        <f>G13</f>
        <v>15.506387970871424</v>
      </c>
      <c r="AG5" s="169">
        <f>G14</f>
        <v>0.32465352865370034</v>
      </c>
      <c r="AH5" s="169">
        <f>G15</f>
        <v>2.5311970030627484</v>
      </c>
      <c r="AI5" s="169">
        <f>G17</f>
        <v>23.11637673455777</v>
      </c>
      <c r="AJ5" s="169">
        <f>G20</f>
        <v>7.503623463535907</v>
      </c>
      <c r="AK5" s="169">
        <f>G21</f>
        <v>17.93639211983347</v>
      </c>
    </row>
    <row r="6" spans="1:37" ht="14.25">
      <c r="A6" s="3"/>
      <c r="G6" s="433" t="s">
        <v>128</v>
      </c>
      <c r="H6" s="434"/>
      <c r="I6" s="434"/>
      <c r="AA6" s="440"/>
      <c r="AB6" s="166" t="s">
        <v>116</v>
      </c>
      <c r="AC6" s="169">
        <f>I22</f>
        <v>3.6502728251130323</v>
      </c>
      <c r="AD6" s="169">
        <f>I9</f>
        <v>9.917412430019956</v>
      </c>
      <c r="AE6" s="169">
        <f>I10</f>
        <v>22.741535346353302</v>
      </c>
      <c r="AF6" s="169">
        <f>I13</f>
        <v>1.3917023167454134</v>
      </c>
      <c r="AG6" s="169">
        <f>I14</f>
        <v>-1.3377926421404673</v>
      </c>
      <c r="AH6" s="169">
        <f>I15</f>
        <v>-22.6890756302521</v>
      </c>
      <c r="AI6" s="169">
        <f>I17</f>
        <v>0.12011582597504233</v>
      </c>
      <c r="AJ6" s="169">
        <f>I20</f>
        <v>-0.3398377548783138</v>
      </c>
      <c r="AK6" s="169">
        <f>I21</f>
        <v>2.9014650962367217</v>
      </c>
    </row>
    <row r="7" spans="1:9" ht="27" customHeight="1">
      <c r="A7" s="19"/>
      <c r="B7" s="5"/>
      <c r="C7" s="5"/>
      <c r="D7" s="5"/>
      <c r="E7" s="23"/>
      <c r="F7" s="62" t="s">
        <v>246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430" t="s">
        <v>80</v>
      </c>
      <c r="B9" s="430" t="s">
        <v>81</v>
      </c>
      <c r="C9" s="47" t="s">
        <v>3</v>
      </c>
      <c r="D9" s="48"/>
      <c r="E9" s="49"/>
      <c r="F9" s="77">
        <v>716434</v>
      </c>
      <c r="G9" s="78">
        <f aca="true" t="shared" si="0" ref="G9:G22">F9/$F$22*100</f>
        <v>39.42251290635341</v>
      </c>
      <c r="H9" s="77">
        <v>651793</v>
      </c>
      <c r="I9" s="79">
        <f aca="true" t="shared" si="1" ref="I9:I21">(F9/H9-1)*100</f>
        <v>9.917412430019956</v>
      </c>
      <c r="AA9" s="441" t="s">
        <v>105</v>
      </c>
      <c r="AB9" s="442"/>
      <c r="AC9" s="443" t="s">
        <v>117</v>
      </c>
    </row>
    <row r="10" spans="1:37" ht="18" customHeight="1">
      <c r="A10" s="431"/>
      <c r="B10" s="431"/>
      <c r="C10" s="8"/>
      <c r="D10" s="50" t="s">
        <v>22</v>
      </c>
      <c r="E10" s="30"/>
      <c r="F10" s="80">
        <v>317633</v>
      </c>
      <c r="G10" s="81">
        <f t="shared" si="0"/>
        <v>17.478080384213694</v>
      </c>
      <c r="H10" s="80">
        <v>258782</v>
      </c>
      <c r="I10" s="82">
        <f t="shared" si="1"/>
        <v>22.741535346353302</v>
      </c>
      <c r="AA10" s="444" t="s">
        <v>106</v>
      </c>
      <c r="AB10" s="444"/>
      <c r="AC10" s="443"/>
      <c r="AD10" s="435" t="s">
        <v>118</v>
      </c>
      <c r="AE10" s="446"/>
      <c r="AF10" s="447"/>
      <c r="AG10" s="435" t="s">
        <v>119</v>
      </c>
      <c r="AH10" s="436"/>
      <c r="AI10" s="437"/>
      <c r="AJ10" s="435" t="s">
        <v>120</v>
      </c>
      <c r="AK10" s="437"/>
    </row>
    <row r="11" spans="1:37" ht="18" customHeight="1">
      <c r="A11" s="431"/>
      <c r="B11" s="431"/>
      <c r="C11" s="34"/>
      <c r="D11" s="35"/>
      <c r="E11" s="33" t="s">
        <v>23</v>
      </c>
      <c r="F11" s="83">
        <v>186932</v>
      </c>
      <c r="G11" s="84">
        <f t="shared" si="0"/>
        <v>10.28612430818534</v>
      </c>
      <c r="H11" s="83">
        <v>142083</v>
      </c>
      <c r="I11" s="85">
        <f t="shared" si="1"/>
        <v>31.56535264598861</v>
      </c>
      <c r="AA11" s="444"/>
      <c r="AB11" s="444"/>
      <c r="AC11" s="441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431"/>
      <c r="B12" s="431"/>
      <c r="C12" s="34"/>
      <c r="D12" s="36"/>
      <c r="E12" s="33" t="s">
        <v>24</v>
      </c>
      <c r="F12" s="83">
        <v>107559</v>
      </c>
      <c r="G12" s="84">
        <f>F12/$F$22*100</f>
        <v>5.918543879400569</v>
      </c>
      <c r="H12" s="83">
        <v>94014</v>
      </c>
      <c r="I12" s="85">
        <f t="shared" si="1"/>
        <v>14.407428680834776</v>
      </c>
      <c r="AA12" s="438" t="str">
        <f>E1</f>
        <v>大阪市</v>
      </c>
      <c r="AB12" s="166" t="s">
        <v>114</v>
      </c>
      <c r="AC12" s="167">
        <f>F40</f>
        <v>1817322</v>
      </c>
      <c r="AD12" s="167">
        <f>F23</f>
        <v>1173093</v>
      </c>
      <c r="AE12" s="167">
        <f>F24</f>
        <v>310046</v>
      </c>
      <c r="AF12" s="167">
        <f>F26</f>
        <v>292247</v>
      </c>
      <c r="AG12" s="167">
        <f>F27</f>
        <v>493520</v>
      </c>
      <c r="AH12" s="167">
        <f>F28</f>
        <v>124396</v>
      </c>
      <c r="AI12" s="167">
        <f>F32</f>
        <v>4693</v>
      </c>
      <c r="AJ12" s="167">
        <f>F34</f>
        <v>150709</v>
      </c>
      <c r="AK12" s="167">
        <f>F35</f>
        <v>150709</v>
      </c>
      <c r="AL12" s="171"/>
    </row>
    <row r="13" spans="1:37" ht="18" customHeight="1">
      <c r="A13" s="431"/>
      <c r="B13" s="431"/>
      <c r="C13" s="11"/>
      <c r="D13" s="31" t="s">
        <v>25</v>
      </c>
      <c r="E13" s="32"/>
      <c r="F13" s="86">
        <v>281801</v>
      </c>
      <c r="G13" s="87">
        <f t="shared" si="0"/>
        <v>15.506387970871424</v>
      </c>
      <c r="H13" s="86">
        <v>277933</v>
      </c>
      <c r="I13" s="88">
        <f t="shared" si="1"/>
        <v>1.3917023167454134</v>
      </c>
      <c r="AA13" s="439"/>
      <c r="AB13" s="166" t="s">
        <v>115</v>
      </c>
      <c r="AC13" s="169"/>
      <c r="AD13" s="169">
        <f>G23</f>
        <v>64.55064099812802</v>
      </c>
      <c r="AE13" s="169">
        <f>G24</f>
        <v>17.06059795677376</v>
      </c>
      <c r="AF13" s="169">
        <f>G26</f>
        <v>16.08118979465389</v>
      </c>
      <c r="AG13" s="169">
        <f>G27</f>
        <v>27.15644228155495</v>
      </c>
      <c r="AH13" s="169">
        <f>G28</f>
        <v>6.84501700854334</v>
      </c>
      <c r="AI13" s="169">
        <f>G32</f>
        <v>0.25823712033420604</v>
      </c>
      <c r="AJ13" s="169">
        <f>G34</f>
        <v>8.292916720317038</v>
      </c>
      <c r="AK13" s="169">
        <f>G35</f>
        <v>8.292916720317038</v>
      </c>
    </row>
    <row r="14" spans="1:37" ht="18" customHeight="1">
      <c r="A14" s="431"/>
      <c r="B14" s="431"/>
      <c r="C14" s="52" t="s">
        <v>4</v>
      </c>
      <c r="D14" s="53"/>
      <c r="E14" s="54"/>
      <c r="F14" s="83">
        <v>5900</v>
      </c>
      <c r="G14" s="84">
        <f t="shared" si="0"/>
        <v>0.32465352865370034</v>
      </c>
      <c r="H14" s="83">
        <v>5980</v>
      </c>
      <c r="I14" s="85">
        <f t="shared" si="1"/>
        <v>-1.3377926421404673</v>
      </c>
      <c r="AA14" s="440"/>
      <c r="AB14" s="166" t="s">
        <v>116</v>
      </c>
      <c r="AC14" s="169">
        <f>I40</f>
        <v>3.6502728251130323</v>
      </c>
      <c r="AD14" s="169">
        <f>I23</f>
        <v>3.575865293181213</v>
      </c>
      <c r="AE14" s="169">
        <f>I24</f>
        <v>0.3615717527328366</v>
      </c>
      <c r="AF14" s="169">
        <f>I26</f>
        <v>11.145888795923021</v>
      </c>
      <c r="AG14" s="169">
        <f>I27</f>
        <v>1.2654072099689495</v>
      </c>
      <c r="AH14" s="169">
        <f>I28</f>
        <v>1.6747447832803353</v>
      </c>
      <c r="AI14" s="169">
        <f>I32</f>
        <v>20.08700102354146</v>
      </c>
      <c r="AJ14" s="169">
        <f>I34</f>
        <v>12.996438612933447</v>
      </c>
      <c r="AK14" s="169">
        <f>I35</f>
        <v>12.996438612933447</v>
      </c>
    </row>
    <row r="15" spans="1:9" ht="18" customHeight="1">
      <c r="A15" s="431"/>
      <c r="B15" s="431"/>
      <c r="C15" s="52" t="s">
        <v>5</v>
      </c>
      <c r="D15" s="53"/>
      <c r="E15" s="54"/>
      <c r="F15" s="83">
        <v>46000</v>
      </c>
      <c r="G15" s="84">
        <f t="shared" si="0"/>
        <v>2.5311970030627484</v>
      </c>
      <c r="H15" s="83">
        <v>59500</v>
      </c>
      <c r="I15" s="85">
        <f t="shared" si="1"/>
        <v>-22.6890756302521</v>
      </c>
    </row>
    <row r="16" spans="1:9" ht="18" customHeight="1">
      <c r="A16" s="431"/>
      <c r="B16" s="431"/>
      <c r="C16" s="52" t="s">
        <v>26</v>
      </c>
      <c r="D16" s="53"/>
      <c r="E16" s="54"/>
      <c r="F16" s="83">
        <v>70605</v>
      </c>
      <c r="G16" s="84">
        <f t="shared" si="0"/>
        <v>3.8851122695922906</v>
      </c>
      <c r="H16" s="83">
        <v>69221</v>
      </c>
      <c r="I16" s="85">
        <f t="shared" si="1"/>
        <v>1.9993932477138543</v>
      </c>
    </row>
    <row r="17" spans="1:9" ht="18" customHeight="1">
      <c r="A17" s="431"/>
      <c r="B17" s="431"/>
      <c r="C17" s="52" t="s">
        <v>6</v>
      </c>
      <c r="D17" s="53"/>
      <c r="E17" s="54"/>
      <c r="F17" s="83">
        <v>420099</v>
      </c>
      <c r="G17" s="84">
        <f t="shared" si="0"/>
        <v>23.11637673455777</v>
      </c>
      <c r="H17" s="83">
        <v>419595</v>
      </c>
      <c r="I17" s="85">
        <f t="shared" si="1"/>
        <v>0.12011582597504233</v>
      </c>
    </row>
    <row r="18" spans="1:9" ht="18" customHeight="1">
      <c r="A18" s="431"/>
      <c r="B18" s="431"/>
      <c r="C18" s="52" t="s">
        <v>27</v>
      </c>
      <c r="D18" s="53"/>
      <c r="E18" s="54"/>
      <c r="F18" s="83">
        <v>76650</v>
      </c>
      <c r="G18" s="84">
        <f t="shared" si="0"/>
        <v>4.2177445714078186</v>
      </c>
      <c r="H18" s="83">
        <v>72684</v>
      </c>
      <c r="I18" s="85">
        <f t="shared" si="1"/>
        <v>5.456496615486217</v>
      </c>
    </row>
    <row r="19" spans="1:9" ht="18" customHeight="1">
      <c r="A19" s="431"/>
      <c r="B19" s="431"/>
      <c r="C19" s="52" t="s">
        <v>28</v>
      </c>
      <c r="D19" s="53"/>
      <c r="E19" s="54"/>
      <c r="F19" s="83">
        <v>19307</v>
      </c>
      <c r="G19" s="84">
        <f t="shared" si="0"/>
        <v>1.0623874030028801</v>
      </c>
      <c r="H19" s="83">
        <v>20947</v>
      </c>
      <c r="I19" s="85">
        <f t="shared" si="1"/>
        <v>-7.829283429608058</v>
      </c>
    </row>
    <row r="20" spans="1:9" ht="18" customHeight="1">
      <c r="A20" s="431"/>
      <c r="B20" s="431"/>
      <c r="C20" s="52" t="s">
        <v>7</v>
      </c>
      <c r="D20" s="53"/>
      <c r="E20" s="54"/>
      <c r="F20" s="83">
        <v>136365</v>
      </c>
      <c r="G20" s="84">
        <f t="shared" si="0"/>
        <v>7.503623463535907</v>
      </c>
      <c r="H20" s="83">
        <v>136830</v>
      </c>
      <c r="I20" s="85">
        <f t="shared" si="1"/>
        <v>-0.3398377548783138</v>
      </c>
    </row>
    <row r="21" spans="1:9" ht="18" customHeight="1">
      <c r="A21" s="431"/>
      <c r="B21" s="431"/>
      <c r="C21" s="57" t="s">
        <v>8</v>
      </c>
      <c r="D21" s="58"/>
      <c r="E21" s="56"/>
      <c r="F21" s="89">
        <v>325962</v>
      </c>
      <c r="G21" s="90">
        <f t="shared" si="0"/>
        <v>17.93639211983347</v>
      </c>
      <c r="H21" s="89">
        <v>316771</v>
      </c>
      <c r="I21" s="91">
        <f t="shared" si="1"/>
        <v>2.9014650962367217</v>
      </c>
    </row>
    <row r="22" spans="1:9" ht="18" customHeight="1">
      <c r="A22" s="431"/>
      <c r="B22" s="432"/>
      <c r="C22" s="59" t="s">
        <v>9</v>
      </c>
      <c r="D22" s="37"/>
      <c r="E22" s="60"/>
      <c r="F22" s="92">
        <f>SUM(F9,F14:F21)</f>
        <v>1817322</v>
      </c>
      <c r="G22" s="93">
        <f t="shared" si="0"/>
        <v>100</v>
      </c>
      <c r="H22" s="92">
        <f>SUM(H9,H14:H21)</f>
        <v>1753321</v>
      </c>
      <c r="I22" s="238">
        <f aca="true" t="shared" si="2" ref="I22:I40">(F22/H22-1)*100</f>
        <v>3.6502728251130323</v>
      </c>
    </row>
    <row r="23" spans="1:9" ht="18" customHeight="1">
      <c r="A23" s="431"/>
      <c r="B23" s="430" t="s">
        <v>82</v>
      </c>
      <c r="C23" s="4" t="s">
        <v>10</v>
      </c>
      <c r="D23" s="5"/>
      <c r="E23" s="23"/>
      <c r="F23" s="77">
        <v>1173093</v>
      </c>
      <c r="G23" s="78">
        <f aca="true" t="shared" si="3" ref="G23:G37">F23/$F$40*100</f>
        <v>64.55064099812802</v>
      </c>
      <c r="H23" s="77">
        <v>1132593</v>
      </c>
      <c r="I23" s="94">
        <f t="shared" si="2"/>
        <v>3.575865293181213</v>
      </c>
    </row>
    <row r="24" spans="1:9" ht="18" customHeight="1">
      <c r="A24" s="431"/>
      <c r="B24" s="431"/>
      <c r="C24" s="8"/>
      <c r="D24" s="10" t="s">
        <v>11</v>
      </c>
      <c r="E24" s="38"/>
      <c r="F24" s="83">
        <v>310046</v>
      </c>
      <c r="G24" s="84">
        <f t="shared" si="3"/>
        <v>17.06059795677376</v>
      </c>
      <c r="H24" s="83">
        <v>308929</v>
      </c>
      <c r="I24" s="85">
        <f t="shared" si="2"/>
        <v>0.3615717527328366</v>
      </c>
    </row>
    <row r="25" spans="1:9" ht="18" customHeight="1">
      <c r="A25" s="431"/>
      <c r="B25" s="431"/>
      <c r="C25" s="8"/>
      <c r="D25" s="10" t="s">
        <v>29</v>
      </c>
      <c r="E25" s="38"/>
      <c r="F25" s="83">
        <v>570800</v>
      </c>
      <c r="G25" s="84">
        <f t="shared" si="3"/>
        <v>31.408853246700364</v>
      </c>
      <c r="H25" s="83">
        <v>560724</v>
      </c>
      <c r="I25" s="85">
        <f t="shared" si="2"/>
        <v>1.7969624984841115</v>
      </c>
    </row>
    <row r="26" spans="1:9" ht="18" customHeight="1">
      <c r="A26" s="431"/>
      <c r="B26" s="431"/>
      <c r="C26" s="11"/>
      <c r="D26" s="10" t="s">
        <v>12</v>
      </c>
      <c r="E26" s="38"/>
      <c r="F26" s="83">
        <v>292247</v>
      </c>
      <c r="G26" s="84">
        <f t="shared" si="3"/>
        <v>16.08118979465389</v>
      </c>
      <c r="H26" s="83">
        <v>262940</v>
      </c>
      <c r="I26" s="85">
        <f t="shared" si="2"/>
        <v>11.145888795923021</v>
      </c>
    </row>
    <row r="27" spans="1:9" ht="18" customHeight="1">
      <c r="A27" s="431"/>
      <c r="B27" s="431"/>
      <c r="C27" s="8" t="s">
        <v>13</v>
      </c>
      <c r="D27" s="14"/>
      <c r="E27" s="25"/>
      <c r="F27" s="77">
        <v>493520</v>
      </c>
      <c r="G27" s="78">
        <f t="shared" si="3"/>
        <v>27.15644228155495</v>
      </c>
      <c r="H27" s="77">
        <v>487353</v>
      </c>
      <c r="I27" s="94">
        <f t="shared" si="2"/>
        <v>1.2654072099689495</v>
      </c>
    </row>
    <row r="28" spans="1:9" ht="18" customHeight="1">
      <c r="A28" s="431"/>
      <c r="B28" s="431"/>
      <c r="C28" s="8"/>
      <c r="D28" s="10" t="s">
        <v>14</v>
      </c>
      <c r="E28" s="38"/>
      <c r="F28" s="83">
        <v>124396</v>
      </c>
      <c r="G28" s="84">
        <f t="shared" si="3"/>
        <v>6.84501700854334</v>
      </c>
      <c r="H28" s="83">
        <v>122347</v>
      </c>
      <c r="I28" s="85">
        <f t="shared" si="2"/>
        <v>1.6747447832803353</v>
      </c>
    </row>
    <row r="29" spans="1:9" ht="18" customHeight="1">
      <c r="A29" s="431"/>
      <c r="B29" s="431"/>
      <c r="C29" s="8"/>
      <c r="D29" s="10" t="s">
        <v>30</v>
      </c>
      <c r="E29" s="38"/>
      <c r="F29" s="83">
        <v>15154</v>
      </c>
      <c r="G29" s="84">
        <f t="shared" si="3"/>
        <v>0.8338643344437584</v>
      </c>
      <c r="H29" s="83">
        <v>14738</v>
      </c>
      <c r="I29" s="85">
        <f t="shared" si="2"/>
        <v>2.8226353643642232</v>
      </c>
    </row>
    <row r="30" spans="1:9" ht="18" customHeight="1">
      <c r="A30" s="431"/>
      <c r="B30" s="431"/>
      <c r="C30" s="8"/>
      <c r="D30" s="10" t="s">
        <v>31</v>
      </c>
      <c r="E30" s="38"/>
      <c r="F30" s="83">
        <v>131597</v>
      </c>
      <c r="G30" s="84">
        <f t="shared" si="3"/>
        <v>7.241259391566272</v>
      </c>
      <c r="H30" s="83">
        <v>122902</v>
      </c>
      <c r="I30" s="85">
        <f t="shared" si="2"/>
        <v>7.074742477746487</v>
      </c>
    </row>
    <row r="31" spans="1:9" ht="18" customHeight="1">
      <c r="A31" s="431"/>
      <c r="B31" s="431"/>
      <c r="C31" s="8"/>
      <c r="D31" s="10" t="s">
        <v>32</v>
      </c>
      <c r="E31" s="38"/>
      <c r="F31" s="83">
        <v>130656</v>
      </c>
      <c r="G31" s="84">
        <f t="shared" si="3"/>
        <v>7.189479905047097</v>
      </c>
      <c r="H31" s="83">
        <v>131276</v>
      </c>
      <c r="I31" s="85">
        <f t="shared" si="2"/>
        <v>-0.4722873944970951</v>
      </c>
    </row>
    <row r="32" spans="1:9" ht="18" customHeight="1">
      <c r="A32" s="431"/>
      <c r="B32" s="431"/>
      <c r="C32" s="8"/>
      <c r="D32" s="10" t="s">
        <v>15</v>
      </c>
      <c r="E32" s="38"/>
      <c r="F32" s="83">
        <v>4693</v>
      </c>
      <c r="G32" s="84">
        <f t="shared" si="3"/>
        <v>0.25823712033420604</v>
      </c>
      <c r="H32" s="83">
        <v>3908</v>
      </c>
      <c r="I32" s="85">
        <f t="shared" si="2"/>
        <v>20.08700102354146</v>
      </c>
    </row>
    <row r="33" spans="1:9" ht="18" customHeight="1">
      <c r="A33" s="431"/>
      <c r="B33" s="431"/>
      <c r="C33" s="11"/>
      <c r="D33" s="10" t="s">
        <v>33</v>
      </c>
      <c r="E33" s="38"/>
      <c r="F33" s="83">
        <v>85724</v>
      </c>
      <c r="G33" s="84">
        <f t="shared" si="3"/>
        <v>4.717050693272848</v>
      </c>
      <c r="H33" s="83">
        <v>90882</v>
      </c>
      <c r="I33" s="85">
        <f t="shared" si="2"/>
        <v>-5.6754912964063315</v>
      </c>
    </row>
    <row r="34" spans="1:9" ht="18" customHeight="1">
      <c r="A34" s="431"/>
      <c r="B34" s="431"/>
      <c r="C34" s="8" t="s">
        <v>16</v>
      </c>
      <c r="D34" s="14"/>
      <c r="E34" s="25"/>
      <c r="F34" s="77">
        <v>150709</v>
      </c>
      <c r="G34" s="78">
        <f t="shared" si="3"/>
        <v>8.292916720317038</v>
      </c>
      <c r="H34" s="77">
        <v>133375</v>
      </c>
      <c r="I34" s="94">
        <f t="shared" si="2"/>
        <v>12.996438612933447</v>
      </c>
    </row>
    <row r="35" spans="1:9" ht="18" customHeight="1">
      <c r="A35" s="431"/>
      <c r="B35" s="431"/>
      <c r="C35" s="8"/>
      <c r="D35" s="39" t="s">
        <v>17</v>
      </c>
      <c r="E35" s="40"/>
      <c r="F35" s="80">
        <v>150709</v>
      </c>
      <c r="G35" s="81">
        <f t="shared" si="3"/>
        <v>8.292916720317038</v>
      </c>
      <c r="H35" s="80">
        <v>133375</v>
      </c>
      <c r="I35" s="82">
        <f t="shared" si="2"/>
        <v>12.996438612933447</v>
      </c>
    </row>
    <row r="36" spans="1:9" ht="18" customHeight="1">
      <c r="A36" s="431"/>
      <c r="B36" s="431"/>
      <c r="C36" s="8"/>
      <c r="D36" s="41"/>
      <c r="E36" s="153" t="s">
        <v>103</v>
      </c>
      <c r="F36" s="83">
        <v>94029</v>
      </c>
      <c r="G36" s="84">
        <f t="shared" si="3"/>
        <v>5.174041804369287</v>
      </c>
      <c r="H36" s="83">
        <v>88179</v>
      </c>
      <c r="I36" s="85">
        <f>(F36/H36-1)*100</f>
        <v>6.634232640424598</v>
      </c>
    </row>
    <row r="37" spans="1:9" ht="18" customHeight="1">
      <c r="A37" s="431"/>
      <c r="B37" s="431"/>
      <c r="C37" s="8"/>
      <c r="D37" s="12"/>
      <c r="E37" s="33" t="s">
        <v>34</v>
      </c>
      <c r="F37" s="83">
        <v>56086</v>
      </c>
      <c r="G37" s="84">
        <f t="shared" si="3"/>
        <v>3.086189458995159</v>
      </c>
      <c r="H37" s="83">
        <v>45196</v>
      </c>
      <c r="I37" s="85">
        <f t="shared" si="2"/>
        <v>24.095052659527383</v>
      </c>
    </row>
    <row r="38" spans="1:9" ht="18" customHeight="1">
      <c r="A38" s="431"/>
      <c r="B38" s="431"/>
      <c r="C38" s="8"/>
      <c r="D38" s="61" t="s">
        <v>35</v>
      </c>
      <c r="E38" s="54"/>
      <c r="F38" s="83">
        <v>0</v>
      </c>
      <c r="G38" s="81">
        <f>F38/$F$40*100</f>
        <v>0</v>
      </c>
      <c r="H38" s="83">
        <v>0</v>
      </c>
      <c r="I38" s="85" t="e">
        <f t="shared" si="2"/>
        <v>#DIV/0!</v>
      </c>
    </row>
    <row r="39" spans="1:9" ht="18" customHeight="1">
      <c r="A39" s="431"/>
      <c r="B39" s="431"/>
      <c r="C39" s="6"/>
      <c r="D39" s="55" t="s">
        <v>36</v>
      </c>
      <c r="E39" s="56"/>
      <c r="F39" s="89">
        <v>0</v>
      </c>
      <c r="G39" s="90">
        <f>F39/$F$40*100</f>
        <v>0</v>
      </c>
      <c r="H39" s="89">
        <v>0</v>
      </c>
      <c r="I39" s="91" t="e">
        <f t="shared" si="2"/>
        <v>#DIV/0!</v>
      </c>
    </row>
    <row r="40" spans="1:9" ht="18" customHeight="1">
      <c r="A40" s="432"/>
      <c r="B40" s="432"/>
      <c r="C40" s="6" t="s">
        <v>18</v>
      </c>
      <c r="D40" s="7"/>
      <c r="E40" s="24"/>
      <c r="F40" s="92">
        <f>SUM(F23,F27,F34)</f>
        <v>1817322</v>
      </c>
      <c r="G40" s="239">
        <f>F40/$F$40*100</f>
        <v>100</v>
      </c>
      <c r="H40" s="92">
        <f>SUM(H23,H27,H34)</f>
        <v>1753321</v>
      </c>
      <c r="I40" s="238">
        <f t="shared" si="2"/>
        <v>3.6502728251130323</v>
      </c>
    </row>
    <row r="41" spans="1:2" ht="18" customHeight="1">
      <c r="A41" s="151" t="s">
        <v>19</v>
      </c>
      <c r="B41" s="151"/>
    </row>
    <row r="42" spans="1:2" ht="18" customHeight="1">
      <c r="A42" s="152" t="s">
        <v>20</v>
      </c>
      <c r="B42" s="151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" sqref="D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0" width="13.59765625" style="1" customWidth="1"/>
    <col min="21" max="23" width="3.3984375" style="1" customWidth="1"/>
    <col min="24" max="25" width="12" style="1" customWidth="1"/>
    <col min="26" max="26" width="14" style="1" customWidth="1"/>
    <col min="27" max="27" width="14.69921875" style="1" bestFit="1" customWidth="1"/>
    <col min="28" max="28" width="13.59765625" style="1" bestFit="1" customWidth="1"/>
    <col min="29" max="29" width="12.69921875" style="1" bestFit="1" customWidth="1"/>
    <col min="30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347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31" ht="15.75" customHeight="1">
      <c r="A5" s="37" t="s">
        <v>247</v>
      </c>
      <c r="B5" s="37"/>
      <c r="C5" s="37"/>
      <c r="D5" s="37"/>
      <c r="K5" s="46"/>
      <c r="O5" s="46"/>
      <c r="Q5" s="46" t="s">
        <v>44</v>
      </c>
      <c r="U5" s="332"/>
      <c r="V5" s="332"/>
      <c r="W5" s="332"/>
      <c r="X5" s="332"/>
      <c r="Y5" s="332"/>
      <c r="Z5" s="332"/>
      <c r="AA5" s="332"/>
      <c r="AB5" s="389" t="s">
        <v>286</v>
      </c>
      <c r="AC5" s="332"/>
      <c r="AD5" s="343"/>
      <c r="AE5" s="343"/>
    </row>
    <row r="6" spans="1:31" ht="15.75" customHeight="1">
      <c r="A6" s="451" t="s">
        <v>45</v>
      </c>
      <c r="B6" s="452"/>
      <c r="C6" s="452"/>
      <c r="D6" s="452"/>
      <c r="E6" s="453"/>
      <c r="F6" s="448" t="s">
        <v>333</v>
      </c>
      <c r="G6" s="449"/>
      <c r="H6" s="448" t="s">
        <v>334</v>
      </c>
      <c r="I6" s="449"/>
      <c r="J6" s="448" t="s">
        <v>335</v>
      </c>
      <c r="K6" s="449"/>
      <c r="L6" s="448" t="s">
        <v>336</v>
      </c>
      <c r="M6" s="449"/>
      <c r="N6" s="450" t="s">
        <v>337</v>
      </c>
      <c r="O6" s="449"/>
      <c r="P6" s="450" t="s">
        <v>338</v>
      </c>
      <c r="Q6" s="449"/>
      <c r="U6" s="451" t="s">
        <v>45</v>
      </c>
      <c r="V6" s="452"/>
      <c r="W6" s="452"/>
      <c r="X6" s="452"/>
      <c r="Y6" s="453"/>
      <c r="Z6" s="457" t="s">
        <v>339</v>
      </c>
      <c r="AA6" s="457"/>
      <c r="AB6" s="457"/>
      <c r="AC6" s="458" t="s">
        <v>294</v>
      </c>
      <c r="AD6" s="343"/>
      <c r="AE6" s="343"/>
    </row>
    <row r="7" spans="1:31" ht="15.75" customHeight="1">
      <c r="A7" s="454"/>
      <c r="B7" s="455"/>
      <c r="C7" s="455"/>
      <c r="D7" s="455"/>
      <c r="E7" s="456"/>
      <c r="F7" s="172" t="s">
        <v>253</v>
      </c>
      <c r="G7" s="51" t="s">
        <v>1</v>
      </c>
      <c r="H7" s="172" t="s">
        <v>340</v>
      </c>
      <c r="I7" s="51" t="s">
        <v>1</v>
      </c>
      <c r="J7" s="172" t="s">
        <v>248</v>
      </c>
      <c r="K7" s="51" t="s">
        <v>1</v>
      </c>
      <c r="L7" s="172" t="s">
        <v>248</v>
      </c>
      <c r="M7" s="51" t="s">
        <v>1</v>
      </c>
      <c r="N7" s="172" t="s">
        <v>248</v>
      </c>
      <c r="O7" s="51" t="s">
        <v>1</v>
      </c>
      <c r="P7" s="172" t="s">
        <v>248</v>
      </c>
      <c r="Q7" s="249" t="s">
        <v>1</v>
      </c>
      <c r="U7" s="454"/>
      <c r="V7" s="455"/>
      <c r="W7" s="455"/>
      <c r="X7" s="455"/>
      <c r="Y7" s="456"/>
      <c r="Z7" s="390" t="s">
        <v>297</v>
      </c>
      <c r="AA7" s="390" t="s">
        <v>298</v>
      </c>
      <c r="AB7" s="391" t="s">
        <v>300</v>
      </c>
      <c r="AC7" s="459"/>
      <c r="AD7" s="336" t="s">
        <v>301</v>
      </c>
      <c r="AE7" s="337" t="s">
        <v>302</v>
      </c>
    </row>
    <row r="8" spans="1:31" ht="15.75" customHeight="1">
      <c r="A8" s="460" t="s">
        <v>84</v>
      </c>
      <c r="B8" s="47" t="s">
        <v>46</v>
      </c>
      <c r="C8" s="48"/>
      <c r="D8" s="48"/>
      <c r="E8" s="95" t="s">
        <v>37</v>
      </c>
      <c r="F8" s="108">
        <v>76289</v>
      </c>
      <c r="G8" s="109">
        <v>68979</v>
      </c>
      <c r="H8" s="108">
        <v>1736</v>
      </c>
      <c r="I8" s="110">
        <v>1796</v>
      </c>
      <c r="J8" s="108">
        <v>0</v>
      </c>
      <c r="K8" s="111">
        <v>196149</v>
      </c>
      <c r="L8" s="108">
        <v>85171</v>
      </c>
      <c r="M8" s="110">
        <v>86212</v>
      </c>
      <c r="N8" s="108">
        <v>14340</v>
      </c>
      <c r="O8" s="111">
        <v>20310</v>
      </c>
      <c r="P8" s="108">
        <v>7974</v>
      </c>
      <c r="Q8" s="111">
        <v>8206</v>
      </c>
      <c r="R8" s="71"/>
      <c r="S8" s="71"/>
      <c r="T8" s="71"/>
      <c r="U8" s="460" t="s">
        <v>84</v>
      </c>
      <c r="V8" s="392" t="s">
        <v>46</v>
      </c>
      <c r="W8" s="393"/>
      <c r="X8" s="393"/>
      <c r="Y8" s="394" t="s">
        <v>37</v>
      </c>
      <c r="Z8" s="395">
        <f>Z9+Z10</f>
        <v>18597534</v>
      </c>
      <c r="AA8" s="395">
        <f>AA9+AA10</f>
        <v>177551471</v>
      </c>
      <c r="AB8" s="396">
        <f aca="true" t="shared" si="0" ref="AB8:AB13">SUM(Z8:AA8)</f>
        <v>196149005</v>
      </c>
      <c r="AC8" s="396">
        <f>ROUND(AB8/1000,0)</f>
        <v>196149</v>
      </c>
      <c r="AD8" s="343"/>
      <c r="AE8" s="343">
        <f>+AC9+AC10</f>
        <v>196149</v>
      </c>
    </row>
    <row r="9" spans="1:31" ht="15.75" customHeight="1">
      <c r="A9" s="461"/>
      <c r="B9" s="14"/>
      <c r="C9" s="61" t="s">
        <v>47</v>
      </c>
      <c r="D9" s="53"/>
      <c r="E9" s="96" t="s">
        <v>38</v>
      </c>
      <c r="F9" s="112">
        <v>70132</v>
      </c>
      <c r="G9" s="113">
        <v>68979</v>
      </c>
      <c r="H9" s="112">
        <v>1736</v>
      </c>
      <c r="I9" s="114">
        <v>1796</v>
      </c>
      <c r="J9" s="112">
        <v>0</v>
      </c>
      <c r="K9" s="115">
        <v>191283</v>
      </c>
      <c r="L9" s="112">
        <v>85071</v>
      </c>
      <c r="M9" s="114">
        <v>86112</v>
      </c>
      <c r="N9" s="112">
        <v>13928</v>
      </c>
      <c r="O9" s="115">
        <v>20035</v>
      </c>
      <c r="P9" s="112">
        <v>7974</v>
      </c>
      <c r="Q9" s="115">
        <v>8206</v>
      </c>
      <c r="R9" s="71"/>
      <c r="S9" s="71"/>
      <c r="T9" s="71"/>
      <c r="U9" s="461"/>
      <c r="V9" s="342"/>
      <c r="W9" s="397" t="s">
        <v>47</v>
      </c>
      <c r="X9" s="398"/>
      <c r="Y9" s="399" t="s">
        <v>38</v>
      </c>
      <c r="Z9" s="400">
        <f>12778355+952854</f>
        <v>13731209</v>
      </c>
      <c r="AA9" s="400">
        <v>177551471</v>
      </c>
      <c r="AB9" s="401">
        <f t="shared" si="0"/>
        <v>191282680</v>
      </c>
      <c r="AC9" s="401">
        <f aca="true" t="shared" si="1" ref="AC9:AC23">ROUND(AB9/1000,0)</f>
        <v>191283</v>
      </c>
      <c r="AD9" s="343"/>
      <c r="AE9" s="343"/>
    </row>
    <row r="10" spans="1:31" ht="15.75" customHeight="1">
      <c r="A10" s="461"/>
      <c r="B10" s="11"/>
      <c r="C10" s="61" t="s">
        <v>48</v>
      </c>
      <c r="D10" s="53"/>
      <c r="E10" s="96" t="s">
        <v>39</v>
      </c>
      <c r="F10" s="112">
        <v>6157</v>
      </c>
      <c r="G10" s="113">
        <v>0</v>
      </c>
      <c r="H10" s="112">
        <v>0</v>
      </c>
      <c r="I10" s="114">
        <v>0</v>
      </c>
      <c r="J10" s="116">
        <v>0</v>
      </c>
      <c r="K10" s="117">
        <v>4866</v>
      </c>
      <c r="L10" s="112">
        <v>100</v>
      </c>
      <c r="M10" s="114">
        <v>100</v>
      </c>
      <c r="N10" s="116">
        <v>412</v>
      </c>
      <c r="O10" s="117">
        <v>275</v>
      </c>
      <c r="P10" s="112">
        <v>0</v>
      </c>
      <c r="Q10" s="115">
        <v>0</v>
      </c>
      <c r="R10" s="71"/>
      <c r="S10" s="71"/>
      <c r="T10" s="71"/>
      <c r="U10" s="461"/>
      <c r="V10" s="402"/>
      <c r="W10" s="397" t="s">
        <v>48</v>
      </c>
      <c r="X10" s="398"/>
      <c r="Y10" s="399" t="s">
        <v>39</v>
      </c>
      <c r="Z10" s="400">
        <v>4866325</v>
      </c>
      <c r="AA10" s="400">
        <v>0</v>
      </c>
      <c r="AB10" s="401">
        <f t="shared" si="0"/>
        <v>4866325</v>
      </c>
      <c r="AC10" s="401">
        <f t="shared" si="1"/>
        <v>4866</v>
      </c>
      <c r="AD10" s="343"/>
      <c r="AE10" s="343"/>
    </row>
    <row r="11" spans="1:31" ht="15.75" customHeight="1">
      <c r="A11" s="461"/>
      <c r="B11" s="66" t="s">
        <v>49</v>
      </c>
      <c r="C11" s="67"/>
      <c r="D11" s="67"/>
      <c r="E11" s="98" t="s">
        <v>40</v>
      </c>
      <c r="F11" s="118">
        <v>57351</v>
      </c>
      <c r="G11" s="119">
        <v>57870</v>
      </c>
      <c r="H11" s="118">
        <v>1642</v>
      </c>
      <c r="I11" s="120">
        <v>1590</v>
      </c>
      <c r="J11" s="118">
        <v>0</v>
      </c>
      <c r="K11" s="121">
        <v>161962</v>
      </c>
      <c r="L11" s="118">
        <v>81496</v>
      </c>
      <c r="M11" s="120">
        <v>83421</v>
      </c>
      <c r="N11" s="118">
        <v>11728</v>
      </c>
      <c r="O11" s="121">
        <v>16228</v>
      </c>
      <c r="P11" s="118">
        <v>8598</v>
      </c>
      <c r="Q11" s="121">
        <v>8437</v>
      </c>
      <c r="R11" s="71"/>
      <c r="S11" s="71"/>
      <c r="T11" s="71"/>
      <c r="U11" s="461"/>
      <c r="V11" s="403" t="s">
        <v>49</v>
      </c>
      <c r="W11" s="404"/>
      <c r="X11" s="404"/>
      <c r="Y11" s="405" t="s">
        <v>40</v>
      </c>
      <c r="Z11" s="400">
        <f>Z12+Z13</f>
        <v>14968390</v>
      </c>
      <c r="AA11" s="400">
        <f>AA12+AA13</f>
        <v>146993987</v>
      </c>
      <c r="AB11" s="401">
        <f t="shared" si="0"/>
        <v>161962377</v>
      </c>
      <c r="AC11" s="401">
        <f t="shared" si="1"/>
        <v>161962</v>
      </c>
      <c r="AD11" s="343"/>
      <c r="AE11" s="343">
        <f>+AC12+AC13</f>
        <v>161962</v>
      </c>
    </row>
    <row r="12" spans="1:31" ht="15.75" customHeight="1">
      <c r="A12" s="461"/>
      <c r="B12" s="8"/>
      <c r="C12" s="61" t="s">
        <v>50</v>
      </c>
      <c r="D12" s="53"/>
      <c r="E12" s="96" t="s">
        <v>41</v>
      </c>
      <c r="F12" s="112">
        <v>57040</v>
      </c>
      <c r="G12" s="113">
        <v>527323</v>
      </c>
      <c r="H12" s="118">
        <v>1576</v>
      </c>
      <c r="I12" s="114">
        <v>1590</v>
      </c>
      <c r="J12" s="118">
        <v>0</v>
      </c>
      <c r="K12" s="115">
        <v>160095</v>
      </c>
      <c r="L12" s="112">
        <v>81496</v>
      </c>
      <c r="M12" s="114">
        <v>83421</v>
      </c>
      <c r="N12" s="118">
        <v>11728</v>
      </c>
      <c r="O12" s="115">
        <v>16017</v>
      </c>
      <c r="P12" s="112">
        <v>8598</v>
      </c>
      <c r="Q12" s="115">
        <v>8437</v>
      </c>
      <c r="R12" s="71"/>
      <c r="S12" s="71"/>
      <c r="T12" s="71"/>
      <c r="U12" s="461"/>
      <c r="V12" s="406"/>
      <c r="W12" s="397" t="s">
        <v>50</v>
      </c>
      <c r="X12" s="398"/>
      <c r="Y12" s="399" t="s">
        <v>41</v>
      </c>
      <c r="Z12" s="400">
        <f>14065699+542358+50000</f>
        <v>14658057</v>
      </c>
      <c r="AA12" s="400">
        <f>127013078+18223957+200000</f>
        <v>145437035</v>
      </c>
      <c r="AB12" s="401">
        <f t="shared" si="0"/>
        <v>160095092</v>
      </c>
      <c r="AC12" s="401">
        <f t="shared" si="1"/>
        <v>160095</v>
      </c>
      <c r="AD12" s="343"/>
      <c r="AE12" s="343"/>
    </row>
    <row r="13" spans="1:31" ht="15.75" customHeight="1">
      <c r="A13" s="461"/>
      <c r="B13" s="14"/>
      <c r="C13" s="50" t="s">
        <v>51</v>
      </c>
      <c r="D13" s="68"/>
      <c r="E13" s="99" t="s">
        <v>42</v>
      </c>
      <c r="F13" s="154">
        <v>311</v>
      </c>
      <c r="G13" s="134">
        <v>547</v>
      </c>
      <c r="H13" s="116">
        <v>66</v>
      </c>
      <c r="I13" s="117">
        <v>0</v>
      </c>
      <c r="J13" s="116">
        <v>0</v>
      </c>
      <c r="K13" s="117">
        <v>1867</v>
      </c>
      <c r="L13" s="122">
        <v>0</v>
      </c>
      <c r="M13" s="124">
        <v>0</v>
      </c>
      <c r="N13" s="116">
        <v>0</v>
      </c>
      <c r="O13" s="117">
        <v>211</v>
      </c>
      <c r="P13" s="122">
        <v>0</v>
      </c>
      <c r="Q13" s="125">
        <v>0</v>
      </c>
      <c r="R13" s="71"/>
      <c r="S13" s="71"/>
      <c r="T13" s="71"/>
      <c r="U13" s="461"/>
      <c r="V13" s="342"/>
      <c r="W13" s="407" t="s">
        <v>51</v>
      </c>
      <c r="X13" s="408"/>
      <c r="Y13" s="409" t="s">
        <v>42</v>
      </c>
      <c r="Z13" s="400">
        <v>310333</v>
      </c>
      <c r="AA13" s="400">
        <v>1556952</v>
      </c>
      <c r="AB13" s="401">
        <f t="shared" si="0"/>
        <v>1867285</v>
      </c>
      <c r="AC13" s="401">
        <f t="shared" si="1"/>
        <v>1867</v>
      </c>
      <c r="AD13" s="343"/>
      <c r="AE13" s="343"/>
    </row>
    <row r="14" spans="1:31" ht="15.75" customHeight="1">
      <c r="A14" s="461"/>
      <c r="B14" s="52" t="s">
        <v>52</v>
      </c>
      <c r="C14" s="53"/>
      <c r="D14" s="53"/>
      <c r="E14" s="96" t="s">
        <v>88</v>
      </c>
      <c r="F14" s="155">
        <f aca="true" t="shared" si="2" ref="F14:Q15">F9-F12</f>
        <v>13092</v>
      </c>
      <c r="G14" s="145">
        <f t="shared" si="2"/>
        <v>-458344</v>
      </c>
      <c r="H14" s="155">
        <f t="shared" si="2"/>
        <v>160</v>
      </c>
      <c r="I14" s="145">
        <f t="shared" si="2"/>
        <v>206</v>
      </c>
      <c r="J14" s="155">
        <f t="shared" si="2"/>
        <v>0</v>
      </c>
      <c r="K14" s="145">
        <f t="shared" si="2"/>
        <v>31188</v>
      </c>
      <c r="L14" s="155">
        <f t="shared" si="2"/>
        <v>3575</v>
      </c>
      <c r="M14" s="145">
        <f t="shared" si="2"/>
        <v>2691</v>
      </c>
      <c r="N14" s="155">
        <f>N9-N12</f>
        <v>2200</v>
      </c>
      <c r="O14" s="145">
        <f>O9-O12</f>
        <v>4018</v>
      </c>
      <c r="P14" s="155">
        <f t="shared" si="2"/>
        <v>-624</v>
      </c>
      <c r="Q14" s="145">
        <f t="shared" si="2"/>
        <v>-231</v>
      </c>
      <c r="R14" s="71"/>
      <c r="S14" s="71"/>
      <c r="T14" s="71"/>
      <c r="U14" s="461"/>
      <c r="V14" s="410" t="s">
        <v>52</v>
      </c>
      <c r="W14" s="398"/>
      <c r="X14" s="398"/>
      <c r="Y14" s="399" t="s">
        <v>88</v>
      </c>
      <c r="Z14" s="400">
        <f aca="true" t="shared" si="3" ref="Z14:AC15">Z9-Z12</f>
        <v>-926848</v>
      </c>
      <c r="AA14" s="400">
        <f t="shared" si="3"/>
        <v>32114436</v>
      </c>
      <c r="AB14" s="400">
        <f t="shared" si="3"/>
        <v>31187588</v>
      </c>
      <c r="AC14" s="400">
        <f t="shared" si="3"/>
        <v>31188</v>
      </c>
      <c r="AD14" s="343"/>
      <c r="AE14" s="343"/>
    </row>
    <row r="15" spans="1:31" ht="15.75" customHeight="1">
      <c r="A15" s="461"/>
      <c r="B15" s="52" t="s">
        <v>53</v>
      </c>
      <c r="C15" s="53"/>
      <c r="D15" s="53"/>
      <c r="E15" s="96" t="s">
        <v>89</v>
      </c>
      <c r="F15" s="155">
        <f t="shared" si="2"/>
        <v>5846</v>
      </c>
      <c r="G15" s="145">
        <f t="shared" si="2"/>
        <v>-547</v>
      </c>
      <c r="H15" s="155">
        <f t="shared" si="2"/>
        <v>-66</v>
      </c>
      <c r="I15" s="145">
        <f t="shared" si="2"/>
        <v>0</v>
      </c>
      <c r="J15" s="155">
        <f t="shared" si="2"/>
        <v>0</v>
      </c>
      <c r="K15" s="145">
        <f t="shared" si="2"/>
        <v>2999</v>
      </c>
      <c r="L15" s="155">
        <f t="shared" si="2"/>
        <v>100</v>
      </c>
      <c r="M15" s="145">
        <f t="shared" si="2"/>
        <v>100</v>
      </c>
      <c r="N15" s="155">
        <f>N10-N13</f>
        <v>412</v>
      </c>
      <c r="O15" s="145">
        <f>O10-O13</f>
        <v>64</v>
      </c>
      <c r="P15" s="155">
        <f t="shared" si="2"/>
        <v>0</v>
      </c>
      <c r="Q15" s="145">
        <f t="shared" si="2"/>
        <v>0</v>
      </c>
      <c r="R15" s="71"/>
      <c r="S15" s="71"/>
      <c r="T15" s="71"/>
      <c r="U15" s="461"/>
      <c r="V15" s="410" t="s">
        <v>53</v>
      </c>
      <c r="W15" s="398"/>
      <c r="X15" s="398"/>
      <c r="Y15" s="399" t="s">
        <v>89</v>
      </c>
      <c r="Z15" s="400">
        <f>Z10-Z13</f>
        <v>4555992</v>
      </c>
      <c r="AA15" s="400">
        <f t="shared" si="3"/>
        <v>-1556952</v>
      </c>
      <c r="AB15" s="400">
        <f t="shared" si="3"/>
        <v>2999040</v>
      </c>
      <c r="AC15" s="400">
        <f t="shared" si="3"/>
        <v>2999</v>
      </c>
      <c r="AD15" s="343"/>
      <c r="AE15" s="343"/>
    </row>
    <row r="16" spans="1:31" ht="15.75" customHeight="1">
      <c r="A16" s="461"/>
      <c r="B16" s="52" t="s">
        <v>54</v>
      </c>
      <c r="C16" s="53"/>
      <c r="D16" s="53"/>
      <c r="E16" s="96" t="s">
        <v>90</v>
      </c>
      <c r="F16" s="154">
        <f aca="true" t="shared" si="4" ref="F16:Q16">F8-F11</f>
        <v>18938</v>
      </c>
      <c r="G16" s="134">
        <f t="shared" si="4"/>
        <v>11109</v>
      </c>
      <c r="H16" s="154">
        <f t="shared" si="4"/>
        <v>94</v>
      </c>
      <c r="I16" s="134">
        <f t="shared" si="4"/>
        <v>206</v>
      </c>
      <c r="J16" s="154">
        <f t="shared" si="4"/>
        <v>0</v>
      </c>
      <c r="K16" s="134">
        <f t="shared" si="4"/>
        <v>34187</v>
      </c>
      <c r="L16" s="154">
        <f t="shared" si="4"/>
        <v>3675</v>
      </c>
      <c r="M16" s="134">
        <f t="shared" si="4"/>
        <v>2791</v>
      </c>
      <c r="N16" s="154">
        <f>N8-N11</f>
        <v>2612</v>
      </c>
      <c r="O16" s="134">
        <f>O8-O11</f>
        <v>4082</v>
      </c>
      <c r="P16" s="154">
        <f t="shared" si="4"/>
        <v>-624</v>
      </c>
      <c r="Q16" s="134">
        <f t="shared" si="4"/>
        <v>-231</v>
      </c>
      <c r="R16" s="71"/>
      <c r="S16" s="71"/>
      <c r="T16" s="71"/>
      <c r="U16" s="461"/>
      <c r="V16" s="410" t="s">
        <v>54</v>
      </c>
      <c r="W16" s="398"/>
      <c r="X16" s="398"/>
      <c r="Y16" s="399" t="s">
        <v>90</v>
      </c>
      <c r="Z16" s="400">
        <f>Z8-Z11</f>
        <v>3629144</v>
      </c>
      <c r="AA16" s="400">
        <f>AA8-AA11</f>
        <v>30557484</v>
      </c>
      <c r="AB16" s="400">
        <f>AB8-AB11</f>
        <v>34186628</v>
      </c>
      <c r="AC16" s="400">
        <f>AC8-AC11</f>
        <v>34187</v>
      </c>
      <c r="AD16" s="343"/>
      <c r="AE16" s="343"/>
    </row>
    <row r="17" spans="1:31" ht="15.75" customHeight="1">
      <c r="A17" s="461"/>
      <c r="B17" s="52" t="s">
        <v>55</v>
      </c>
      <c r="C17" s="53"/>
      <c r="D17" s="53"/>
      <c r="E17" s="43"/>
      <c r="F17" s="155">
        <v>0</v>
      </c>
      <c r="G17" s="145">
        <v>0</v>
      </c>
      <c r="H17" s="116">
        <v>0</v>
      </c>
      <c r="I17" s="117">
        <v>0</v>
      </c>
      <c r="J17" s="112">
        <v>0</v>
      </c>
      <c r="K17" s="115">
        <v>0</v>
      </c>
      <c r="L17" s="112">
        <v>0</v>
      </c>
      <c r="M17" s="114">
        <v>0</v>
      </c>
      <c r="N17" s="112">
        <v>149625</v>
      </c>
      <c r="O17" s="115">
        <v>154682</v>
      </c>
      <c r="P17" s="116">
        <v>36210</v>
      </c>
      <c r="Q17" s="126">
        <v>35808</v>
      </c>
      <c r="R17" s="71"/>
      <c r="S17" s="71"/>
      <c r="T17" s="71"/>
      <c r="U17" s="461"/>
      <c r="V17" s="410" t="s">
        <v>55</v>
      </c>
      <c r="W17" s="398"/>
      <c r="X17" s="398"/>
      <c r="Y17" s="411"/>
      <c r="Z17" s="412">
        <v>79026403</v>
      </c>
      <c r="AA17" s="412">
        <v>-153869366</v>
      </c>
      <c r="AB17" s="401">
        <f aca="true" t="shared" si="5" ref="AB17:AB23">SUM(Z17:AA17)</f>
        <v>-74842963</v>
      </c>
      <c r="AC17" s="401">
        <f>IF(ROUND(AB17/1000,0)&gt;0,ROUND(AB17/1000,0),0)</f>
        <v>0</v>
      </c>
      <c r="AD17" s="343" t="s">
        <v>341</v>
      </c>
      <c r="AE17" s="343"/>
    </row>
    <row r="18" spans="1:31" ht="15.75" customHeight="1">
      <c r="A18" s="462"/>
      <c r="B18" s="59" t="s">
        <v>56</v>
      </c>
      <c r="C18" s="37"/>
      <c r="D18" s="37"/>
      <c r="E18" s="15"/>
      <c r="F18" s="156">
        <v>0</v>
      </c>
      <c r="G18" s="160">
        <v>0</v>
      </c>
      <c r="H18" s="127">
        <v>0</v>
      </c>
      <c r="I18" s="128">
        <v>0</v>
      </c>
      <c r="J18" s="127">
        <v>0</v>
      </c>
      <c r="K18" s="128">
        <v>0</v>
      </c>
      <c r="L18" s="127">
        <v>0</v>
      </c>
      <c r="M18" s="128">
        <v>0</v>
      </c>
      <c r="N18" s="127">
        <v>0</v>
      </c>
      <c r="O18" s="128">
        <v>0</v>
      </c>
      <c r="P18" s="127">
        <v>0</v>
      </c>
      <c r="Q18" s="129">
        <v>0</v>
      </c>
      <c r="R18" s="71"/>
      <c r="S18" s="71"/>
      <c r="T18" s="71"/>
      <c r="U18" s="462"/>
      <c r="V18" s="413" t="s">
        <v>56</v>
      </c>
      <c r="W18" s="414"/>
      <c r="X18" s="414"/>
      <c r="Y18" s="415"/>
      <c r="Z18" s="416"/>
      <c r="AA18" s="416"/>
      <c r="AB18" s="417">
        <f t="shared" si="5"/>
        <v>0</v>
      </c>
      <c r="AC18" s="417">
        <f t="shared" si="1"/>
        <v>0</v>
      </c>
      <c r="AD18" s="343" t="s">
        <v>308</v>
      </c>
      <c r="AE18" s="343"/>
    </row>
    <row r="19" spans="1:31" ht="15.75" customHeight="1">
      <c r="A19" s="461" t="s">
        <v>85</v>
      </c>
      <c r="B19" s="66" t="s">
        <v>57</v>
      </c>
      <c r="C19" s="69"/>
      <c r="D19" s="69"/>
      <c r="E19" s="100"/>
      <c r="F19" s="157">
        <v>4575</v>
      </c>
      <c r="G19" s="150">
        <v>1857</v>
      </c>
      <c r="H19" s="130">
        <v>137</v>
      </c>
      <c r="I19" s="132">
        <v>82</v>
      </c>
      <c r="J19" s="130">
        <v>0</v>
      </c>
      <c r="K19" s="133">
        <v>38858</v>
      </c>
      <c r="L19" s="130">
        <v>49075</v>
      </c>
      <c r="M19" s="132">
        <v>48128</v>
      </c>
      <c r="N19" s="130">
        <v>1684</v>
      </c>
      <c r="O19" s="133">
        <v>1112</v>
      </c>
      <c r="P19" s="130">
        <v>5671</v>
      </c>
      <c r="Q19" s="133">
        <v>4256</v>
      </c>
      <c r="R19" s="71"/>
      <c r="S19" s="71"/>
      <c r="T19" s="71"/>
      <c r="U19" s="461" t="s">
        <v>85</v>
      </c>
      <c r="V19" s="403" t="s">
        <v>57</v>
      </c>
      <c r="W19" s="418"/>
      <c r="X19" s="418"/>
      <c r="Y19" s="419"/>
      <c r="Z19" s="395">
        <v>136479</v>
      </c>
      <c r="AA19" s="395">
        <v>38721284</v>
      </c>
      <c r="AB19" s="396">
        <f t="shared" si="5"/>
        <v>38857763</v>
      </c>
      <c r="AC19" s="396">
        <f t="shared" si="1"/>
        <v>38858</v>
      </c>
      <c r="AD19" s="343"/>
      <c r="AE19" s="343"/>
    </row>
    <row r="20" spans="1:31" ht="15.75" customHeight="1">
      <c r="A20" s="461"/>
      <c r="B20" s="13"/>
      <c r="C20" s="61" t="s">
        <v>58</v>
      </c>
      <c r="D20" s="53"/>
      <c r="E20" s="96"/>
      <c r="F20" s="155">
        <v>3600</v>
      </c>
      <c r="G20" s="145">
        <v>1000</v>
      </c>
      <c r="H20" s="112">
        <v>0</v>
      </c>
      <c r="I20" s="114">
        <v>0</v>
      </c>
      <c r="J20" s="112">
        <v>0</v>
      </c>
      <c r="K20" s="117">
        <v>31244</v>
      </c>
      <c r="L20" s="112">
        <v>26729</v>
      </c>
      <c r="M20" s="114">
        <v>26490</v>
      </c>
      <c r="N20" s="112">
        <v>1065</v>
      </c>
      <c r="O20" s="117">
        <v>328</v>
      </c>
      <c r="P20" s="112">
        <v>3621</v>
      </c>
      <c r="Q20" s="115">
        <v>2567</v>
      </c>
      <c r="R20" s="71"/>
      <c r="S20" s="71"/>
      <c r="T20" s="71"/>
      <c r="U20" s="461"/>
      <c r="V20" s="420"/>
      <c r="W20" s="397" t="s">
        <v>58</v>
      </c>
      <c r="X20" s="398"/>
      <c r="Y20" s="399"/>
      <c r="Z20" s="400">
        <v>0</v>
      </c>
      <c r="AA20" s="400">
        <v>31244000</v>
      </c>
      <c r="AB20" s="401">
        <f>SUM(Z20:AA20)</f>
        <v>31244000</v>
      </c>
      <c r="AC20" s="401">
        <f t="shared" si="1"/>
        <v>31244</v>
      </c>
      <c r="AD20" s="343"/>
      <c r="AE20" s="343"/>
    </row>
    <row r="21" spans="1:31" ht="15.75" customHeight="1">
      <c r="A21" s="461"/>
      <c r="B21" s="26" t="s">
        <v>59</v>
      </c>
      <c r="C21" s="67"/>
      <c r="D21" s="67"/>
      <c r="E21" s="98" t="s">
        <v>91</v>
      </c>
      <c r="F21" s="158">
        <v>4575</v>
      </c>
      <c r="G21" s="144">
        <v>1857</v>
      </c>
      <c r="H21" s="118">
        <v>137</v>
      </c>
      <c r="I21" s="120">
        <v>82</v>
      </c>
      <c r="J21" s="118">
        <v>0</v>
      </c>
      <c r="K21" s="121">
        <v>38858</v>
      </c>
      <c r="L21" s="118">
        <v>49075</v>
      </c>
      <c r="M21" s="120">
        <v>48128</v>
      </c>
      <c r="N21" s="118">
        <v>1684</v>
      </c>
      <c r="O21" s="121">
        <v>1112</v>
      </c>
      <c r="P21" s="118">
        <v>5671</v>
      </c>
      <c r="Q21" s="121">
        <v>4256</v>
      </c>
      <c r="R21" s="71"/>
      <c r="S21" s="71"/>
      <c r="T21" s="71"/>
      <c r="U21" s="461"/>
      <c r="V21" s="421" t="s">
        <v>59</v>
      </c>
      <c r="W21" s="404"/>
      <c r="X21" s="404"/>
      <c r="Y21" s="405" t="s">
        <v>91</v>
      </c>
      <c r="Z21" s="400">
        <v>136479</v>
      </c>
      <c r="AA21" s="400">
        <v>38721284</v>
      </c>
      <c r="AB21" s="401">
        <f>SUM(Z21:AA21)</f>
        <v>38857763</v>
      </c>
      <c r="AC21" s="401">
        <f t="shared" si="1"/>
        <v>38858</v>
      </c>
      <c r="AD21" s="343"/>
      <c r="AE21" s="343"/>
    </row>
    <row r="22" spans="1:31" ht="15.75" customHeight="1">
      <c r="A22" s="461"/>
      <c r="B22" s="66" t="s">
        <v>60</v>
      </c>
      <c r="C22" s="69"/>
      <c r="D22" s="69"/>
      <c r="E22" s="100" t="s">
        <v>92</v>
      </c>
      <c r="F22" s="157">
        <v>39605</v>
      </c>
      <c r="G22" s="150">
        <v>36996</v>
      </c>
      <c r="H22" s="130">
        <v>2229</v>
      </c>
      <c r="I22" s="132">
        <v>1194</v>
      </c>
      <c r="J22" s="130">
        <v>0</v>
      </c>
      <c r="K22" s="133">
        <v>92438</v>
      </c>
      <c r="L22" s="130">
        <v>78013</v>
      </c>
      <c r="M22" s="132">
        <v>77326</v>
      </c>
      <c r="N22" s="130">
        <v>9857</v>
      </c>
      <c r="O22" s="133">
        <v>10344</v>
      </c>
      <c r="P22" s="130">
        <v>6979</v>
      </c>
      <c r="Q22" s="133">
        <v>5042</v>
      </c>
      <c r="R22" s="71"/>
      <c r="S22" s="71"/>
      <c r="T22" s="71"/>
      <c r="U22" s="461"/>
      <c r="V22" s="403" t="s">
        <v>60</v>
      </c>
      <c r="W22" s="418"/>
      <c r="X22" s="418"/>
      <c r="Y22" s="419" t="s">
        <v>92</v>
      </c>
      <c r="Z22" s="400">
        <v>1481262</v>
      </c>
      <c r="AA22" s="400">
        <v>90957011</v>
      </c>
      <c r="AB22" s="401">
        <f t="shared" si="5"/>
        <v>92438273</v>
      </c>
      <c r="AC22" s="401">
        <f t="shared" si="1"/>
        <v>92438</v>
      </c>
      <c r="AD22" s="343"/>
      <c r="AE22" s="343"/>
    </row>
    <row r="23" spans="1:31" ht="15.75" customHeight="1">
      <c r="A23" s="461"/>
      <c r="B23" s="8" t="s">
        <v>61</v>
      </c>
      <c r="C23" s="50" t="s">
        <v>62</v>
      </c>
      <c r="D23" s="68"/>
      <c r="E23" s="99"/>
      <c r="F23" s="154">
        <v>15378</v>
      </c>
      <c r="G23" s="134">
        <v>17231</v>
      </c>
      <c r="H23" s="122">
        <v>125</v>
      </c>
      <c r="I23" s="124">
        <v>151</v>
      </c>
      <c r="J23" s="122">
        <v>0</v>
      </c>
      <c r="K23" s="125">
        <v>38478</v>
      </c>
      <c r="L23" s="122">
        <v>30209</v>
      </c>
      <c r="M23" s="124">
        <v>30908</v>
      </c>
      <c r="N23" s="122">
        <v>6550</v>
      </c>
      <c r="O23" s="125">
        <v>8197</v>
      </c>
      <c r="P23" s="122">
        <v>5921</v>
      </c>
      <c r="Q23" s="125">
        <v>4265</v>
      </c>
      <c r="R23" s="71"/>
      <c r="S23" s="71"/>
      <c r="T23" s="71"/>
      <c r="U23" s="461"/>
      <c r="V23" s="406" t="s">
        <v>61</v>
      </c>
      <c r="W23" s="407" t="s">
        <v>62</v>
      </c>
      <c r="X23" s="408"/>
      <c r="Y23" s="409"/>
      <c r="Z23" s="400">
        <v>896901</v>
      </c>
      <c r="AA23" s="400">
        <v>37581572</v>
      </c>
      <c r="AB23" s="401">
        <f t="shared" si="5"/>
        <v>38478473</v>
      </c>
      <c r="AC23" s="401">
        <f t="shared" si="1"/>
        <v>38478</v>
      </c>
      <c r="AD23" s="343"/>
      <c r="AE23" s="343"/>
    </row>
    <row r="24" spans="1:31" ht="15.75" customHeight="1">
      <c r="A24" s="461"/>
      <c r="B24" s="52" t="s">
        <v>93</v>
      </c>
      <c r="C24" s="53"/>
      <c r="D24" s="53"/>
      <c r="E24" s="96" t="s">
        <v>94</v>
      </c>
      <c r="F24" s="155">
        <f aca="true" t="shared" si="6" ref="F24:Q24">F21-F22</f>
        <v>-35030</v>
      </c>
      <c r="G24" s="145">
        <f t="shared" si="6"/>
        <v>-35139</v>
      </c>
      <c r="H24" s="155">
        <f t="shared" si="6"/>
        <v>-2092</v>
      </c>
      <c r="I24" s="145">
        <f t="shared" si="6"/>
        <v>-1112</v>
      </c>
      <c r="J24" s="155">
        <f t="shared" si="6"/>
        <v>0</v>
      </c>
      <c r="K24" s="145">
        <f t="shared" si="6"/>
        <v>-53580</v>
      </c>
      <c r="L24" s="155">
        <f t="shared" si="6"/>
        <v>-28938</v>
      </c>
      <c r="M24" s="145">
        <f t="shared" si="6"/>
        <v>-29198</v>
      </c>
      <c r="N24" s="155">
        <f>N21-N22</f>
        <v>-8173</v>
      </c>
      <c r="O24" s="145">
        <f>O21-O22</f>
        <v>-9232</v>
      </c>
      <c r="P24" s="155">
        <f t="shared" si="6"/>
        <v>-1308</v>
      </c>
      <c r="Q24" s="145">
        <f t="shared" si="6"/>
        <v>-786</v>
      </c>
      <c r="R24" s="71"/>
      <c r="S24" s="71"/>
      <c r="T24" s="71"/>
      <c r="U24" s="461"/>
      <c r="V24" s="410" t="s">
        <v>93</v>
      </c>
      <c r="W24" s="398"/>
      <c r="X24" s="398"/>
      <c r="Y24" s="399" t="s">
        <v>94</v>
      </c>
      <c r="Z24" s="400">
        <f>Z21-Z22</f>
        <v>-1344783</v>
      </c>
      <c r="AA24" s="400">
        <f>AA21-AA22</f>
        <v>-52235727</v>
      </c>
      <c r="AB24" s="400">
        <f>AB21-AB22</f>
        <v>-53580510</v>
      </c>
      <c r="AC24" s="400">
        <f>AC21-AC22</f>
        <v>-53580</v>
      </c>
      <c r="AD24" s="343"/>
      <c r="AE24" s="343"/>
    </row>
    <row r="25" spans="1:31" ht="15.75" customHeight="1">
      <c r="A25" s="461"/>
      <c r="B25" s="107" t="s">
        <v>63</v>
      </c>
      <c r="C25" s="68"/>
      <c r="D25" s="68"/>
      <c r="E25" s="463" t="s">
        <v>95</v>
      </c>
      <c r="F25" s="465">
        <v>35030</v>
      </c>
      <c r="G25" s="467">
        <v>35139</v>
      </c>
      <c r="H25" s="469">
        <v>2092</v>
      </c>
      <c r="I25" s="467">
        <v>1112</v>
      </c>
      <c r="J25" s="469">
        <v>0</v>
      </c>
      <c r="K25" s="467">
        <v>52272</v>
      </c>
      <c r="L25" s="469">
        <v>28938</v>
      </c>
      <c r="M25" s="467">
        <v>29198</v>
      </c>
      <c r="N25" s="469">
        <v>8173</v>
      </c>
      <c r="O25" s="467">
        <v>9232</v>
      </c>
      <c r="P25" s="469">
        <v>1308</v>
      </c>
      <c r="Q25" s="467">
        <v>786</v>
      </c>
      <c r="R25" s="71"/>
      <c r="S25" s="71"/>
      <c r="T25" s="71"/>
      <c r="U25" s="461"/>
      <c r="V25" s="422" t="s">
        <v>63</v>
      </c>
      <c r="W25" s="408"/>
      <c r="X25" s="408"/>
      <c r="Y25" s="492" t="s">
        <v>95</v>
      </c>
      <c r="Z25" s="490">
        <v>36100</v>
      </c>
      <c r="AA25" s="471">
        <v>52235727</v>
      </c>
      <c r="AB25" s="471">
        <f>SUM(Z25:AA26)</f>
        <v>52271827</v>
      </c>
      <c r="AC25" s="471">
        <f>ROUND(AB25/1000,0)</f>
        <v>52272</v>
      </c>
      <c r="AD25" s="343"/>
      <c r="AE25" s="343"/>
    </row>
    <row r="26" spans="1:31" ht="15.75" customHeight="1">
      <c r="A26" s="461"/>
      <c r="B26" s="26" t="s">
        <v>64</v>
      </c>
      <c r="C26" s="67"/>
      <c r="D26" s="67"/>
      <c r="E26" s="464"/>
      <c r="F26" s="466"/>
      <c r="G26" s="468"/>
      <c r="H26" s="470"/>
      <c r="I26" s="468"/>
      <c r="J26" s="470"/>
      <c r="K26" s="468">
        <v>0</v>
      </c>
      <c r="L26" s="470"/>
      <c r="M26" s="468"/>
      <c r="N26" s="470"/>
      <c r="O26" s="468"/>
      <c r="P26" s="470"/>
      <c r="Q26" s="468"/>
      <c r="R26" s="71"/>
      <c r="S26" s="71"/>
      <c r="T26" s="71"/>
      <c r="U26" s="461"/>
      <c r="V26" s="421" t="s">
        <v>64</v>
      </c>
      <c r="W26" s="404"/>
      <c r="X26" s="404"/>
      <c r="Y26" s="493"/>
      <c r="Z26" s="491"/>
      <c r="AA26" s="472"/>
      <c r="AB26" s="472"/>
      <c r="AC26" s="472"/>
      <c r="AD26" s="343"/>
      <c r="AE26" s="343"/>
    </row>
    <row r="27" spans="1:31" ht="15.75" customHeight="1">
      <c r="A27" s="462"/>
      <c r="B27" s="59" t="s">
        <v>96</v>
      </c>
      <c r="C27" s="37"/>
      <c r="D27" s="37"/>
      <c r="E27" s="101" t="s">
        <v>97</v>
      </c>
      <c r="F27" s="159">
        <f aca="true" t="shared" si="7" ref="F27:Q27">F24+F25</f>
        <v>0</v>
      </c>
      <c r="G27" s="146">
        <f t="shared" si="7"/>
        <v>0</v>
      </c>
      <c r="H27" s="159">
        <f t="shared" si="7"/>
        <v>0</v>
      </c>
      <c r="I27" s="146">
        <f t="shared" si="7"/>
        <v>0</v>
      </c>
      <c r="J27" s="159">
        <f t="shared" si="7"/>
        <v>0</v>
      </c>
      <c r="K27" s="146">
        <f t="shared" si="7"/>
        <v>-1308</v>
      </c>
      <c r="L27" s="159">
        <f t="shared" si="7"/>
        <v>0</v>
      </c>
      <c r="M27" s="146">
        <f t="shared" si="7"/>
        <v>0</v>
      </c>
      <c r="N27" s="159">
        <f>N24+N25</f>
        <v>0</v>
      </c>
      <c r="O27" s="146">
        <f>O24+O25</f>
        <v>0</v>
      </c>
      <c r="P27" s="159">
        <f t="shared" si="7"/>
        <v>0</v>
      </c>
      <c r="Q27" s="146">
        <f t="shared" si="7"/>
        <v>0</v>
      </c>
      <c r="R27" s="71"/>
      <c r="S27" s="71"/>
      <c r="T27" s="71"/>
      <c r="U27" s="462"/>
      <c r="V27" s="413" t="s">
        <v>96</v>
      </c>
      <c r="W27" s="414"/>
      <c r="X27" s="414"/>
      <c r="Y27" s="423" t="s">
        <v>97</v>
      </c>
      <c r="Z27" s="424">
        <f>Z24+Z25</f>
        <v>-1308683</v>
      </c>
      <c r="AA27" s="424">
        <f>AA24+AA25</f>
        <v>0</v>
      </c>
      <c r="AB27" s="424">
        <f>AB24+AB25</f>
        <v>-1308683</v>
      </c>
      <c r="AC27" s="424">
        <f>AC24+AC25</f>
        <v>-1308</v>
      </c>
      <c r="AD27" s="343"/>
      <c r="AE27" s="343"/>
    </row>
    <row r="28" spans="1:31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425"/>
      <c r="V28" s="425"/>
      <c r="W28" s="425"/>
      <c r="X28" s="425"/>
      <c r="Y28" s="425"/>
      <c r="Z28" s="332" t="s">
        <v>342</v>
      </c>
      <c r="AA28" s="332"/>
      <c r="AB28" s="332"/>
      <c r="AC28" s="332"/>
      <c r="AD28" s="343"/>
      <c r="AE28" s="343"/>
    </row>
    <row r="29" spans="1:27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3"/>
      <c r="O29" s="73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75" customHeight="1">
      <c r="A30" s="473" t="s">
        <v>65</v>
      </c>
      <c r="B30" s="474"/>
      <c r="C30" s="474"/>
      <c r="D30" s="474"/>
      <c r="E30" s="475"/>
      <c r="F30" s="479" t="s">
        <v>343</v>
      </c>
      <c r="G30" s="480"/>
      <c r="H30" s="479" t="s">
        <v>344</v>
      </c>
      <c r="I30" s="480"/>
      <c r="J30" s="479" t="s">
        <v>345</v>
      </c>
      <c r="K30" s="480"/>
      <c r="L30" s="481"/>
      <c r="M30" s="482"/>
      <c r="N30" s="481"/>
      <c r="O30" s="482"/>
      <c r="P30" s="481"/>
      <c r="Q30" s="482"/>
      <c r="R30" s="143"/>
      <c r="S30" s="72"/>
      <c r="T30" s="143"/>
      <c r="U30" s="72"/>
      <c r="V30" s="143"/>
      <c r="W30" s="72"/>
      <c r="X30" s="143"/>
      <c r="Y30" s="72"/>
      <c r="Z30" s="143"/>
      <c r="AA30" s="72"/>
    </row>
    <row r="31" spans="1:27" ht="15.75" customHeight="1">
      <c r="A31" s="476"/>
      <c r="B31" s="477"/>
      <c r="C31" s="477"/>
      <c r="D31" s="477"/>
      <c r="E31" s="478"/>
      <c r="F31" s="426" t="s">
        <v>248</v>
      </c>
      <c r="G31" s="427" t="s">
        <v>1</v>
      </c>
      <c r="H31" s="426" t="s">
        <v>253</v>
      </c>
      <c r="I31" s="427" t="s">
        <v>1</v>
      </c>
      <c r="J31" s="426" t="s">
        <v>253</v>
      </c>
      <c r="K31" s="428" t="s">
        <v>1</v>
      </c>
      <c r="L31" s="172" t="s">
        <v>248</v>
      </c>
      <c r="M31" s="74" t="s">
        <v>1</v>
      </c>
      <c r="N31" s="172" t="s">
        <v>248</v>
      </c>
      <c r="O31" s="75" t="s">
        <v>1</v>
      </c>
      <c r="P31" s="172" t="s">
        <v>248</v>
      </c>
      <c r="Q31" s="148" t="s">
        <v>1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1:27" ht="15.75" customHeight="1">
      <c r="A32" s="460" t="s">
        <v>86</v>
      </c>
      <c r="B32" s="47" t="s">
        <v>46</v>
      </c>
      <c r="C32" s="48"/>
      <c r="D32" s="48"/>
      <c r="E32" s="16" t="s">
        <v>37</v>
      </c>
      <c r="F32" s="130">
        <v>2007</v>
      </c>
      <c r="G32" s="131">
        <v>2130</v>
      </c>
      <c r="H32" s="108">
        <v>2637</v>
      </c>
      <c r="I32" s="110">
        <v>2719</v>
      </c>
      <c r="J32" s="108">
        <v>1855</v>
      </c>
      <c r="K32" s="111">
        <v>1777</v>
      </c>
      <c r="L32" s="130"/>
      <c r="M32" s="131"/>
      <c r="N32" s="108"/>
      <c r="O32" s="111"/>
      <c r="P32" s="108"/>
      <c r="Q32" s="149"/>
      <c r="R32" s="131"/>
      <c r="S32" s="131"/>
      <c r="T32" s="131"/>
      <c r="U32" s="131"/>
      <c r="V32" s="142"/>
      <c r="W32" s="142"/>
      <c r="X32" s="131"/>
      <c r="Y32" s="131"/>
      <c r="Z32" s="142"/>
      <c r="AA32" s="142"/>
    </row>
    <row r="33" spans="1:27" ht="15.75" customHeight="1">
      <c r="A33" s="483"/>
      <c r="B33" s="14"/>
      <c r="C33" s="50" t="s">
        <v>66</v>
      </c>
      <c r="D33" s="68"/>
      <c r="E33" s="103"/>
      <c r="F33" s="122">
        <v>889</v>
      </c>
      <c r="G33" s="123">
        <v>920</v>
      </c>
      <c r="H33" s="122">
        <v>2619</v>
      </c>
      <c r="I33" s="124">
        <v>2696</v>
      </c>
      <c r="J33" s="122">
        <v>288</v>
      </c>
      <c r="K33" s="125">
        <v>278</v>
      </c>
      <c r="L33" s="122"/>
      <c r="M33" s="123"/>
      <c r="N33" s="122"/>
      <c r="O33" s="125"/>
      <c r="P33" s="122"/>
      <c r="Q33" s="134"/>
      <c r="R33" s="131"/>
      <c r="S33" s="131"/>
      <c r="T33" s="131"/>
      <c r="U33" s="131"/>
      <c r="V33" s="142"/>
      <c r="W33" s="142"/>
      <c r="X33" s="131"/>
      <c r="Y33" s="131"/>
      <c r="Z33" s="142"/>
      <c r="AA33" s="142"/>
    </row>
    <row r="34" spans="1:27" ht="15.75" customHeight="1">
      <c r="A34" s="483"/>
      <c r="B34" s="14"/>
      <c r="C34" s="12"/>
      <c r="D34" s="61" t="s">
        <v>67</v>
      </c>
      <c r="E34" s="97"/>
      <c r="F34" s="112">
        <v>674</v>
      </c>
      <c r="G34" s="113">
        <v>695</v>
      </c>
      <c r="H34" s="112">
        <v>0</v>
      </c>
      <c r="I34" s="114">
        <v>0</v>
      </c>
      <c r="J34" s="112">
        <v>288</v>
      </c>
      <c r="K34" s="115">
        <v>278</v>
      </c>
      <c r="L34" s="112"/>
      <c r="M34" s="113"/>
      <c r="N34" s="112"/>
      <c r="O34" s="115"/>
      <c r="P34" s="112"/>
      <c r="Q34" s="145"/>
      <c r="R34" s="131"/>
      <c r="S34" s="131"/>
      <c r="T34" s="131"/>
      <c r="U34" s="131"/>
      <c r="V34" s="142"/>
      <c r="W34" s="142"/>
      <c r="X34" s="131"/>
      <c r="Y34" s="131"/>
      <c r="Z34" s="142"/>
      <c r="AA34" s="142"/>
    </row>
    <row r="35" spans="1:27" ht="15.75" customHeight="1">
      <c r="A35" s="483"/>
      <c r="B35" s="11"/>
      <c r="C35" s="31" t="s">
        <v>68</v>
      </c>
      <c r="D35" s="67"/>
      <c r="E35" s="104"/>
      <c r="F35" s="118">
        <v>1118</v>
      </c>
      <c r="G35" s="119">
        <v>1210</v>
      </c>
      <c r="H35" s="118">
        <v>18</v>
      </c>
      <c r="I35" s="120">
        <v>23</v>
      </c>
      <c r="J35" s="139">
        <v>1567</v>
      </c>
      <c r="K35" s="140">
        <v>1498</v>
      </c>
      <c r="L35" s="118"/>
      <c r="M35" s="119"/>
      <c r="N35" s="139"/>
      <c r="O35" s="140"/>
      <c r="P35" s="118"/>
      <c r="Q35" s="144"/>
      <c r="R35" s="131"/>
      <c r="S35" s="131"/>
      <c r="T35" s="131"/>
      <c r="U35" s="131"/>
      <c r="V35" s="142"/>
      <c r="W35" s="142"/>
      <c r="X35" s="131"/>
      <c r="Y35" s="131"/>
      <c r="Z35" s="142"/>
      <c r="AA35" s="142"/>
    </row>
    <row r="36" spans="1:27" ht="15.75" customHeight="1">
      <c r="A36" s="483"/>
      <c r="B36" s="66" t="s">
        <v>49</v>
      </c>
      <c r="C36" s="69"/>
      <c r="D36" s="69"/>
      <c r="E36" s="16" t="s">
        <v>38</v>
      </c>
      <c r="F36" s="157">
        <v>1820</v>
      </c>
      <c r="G36" s="134">
        <v>1850</v>
      </c>
      <c r="H36" s="130">
        <v>2637</v>
      </c>
      <c r="I36" s="132">
        <v>2690</v>
      </c>
      <c r="J36" s="130">
        <v>749</v>
      </c>
      <c r="K36" s="133">
        <v>769</v>
      </c>
      <c r="L36" s="130"/>
      <c r="M36" s="131"/>
      <c r="N36" s="130"/>
      <c r="O36" s="133"/>
      <c r="P36" s="130"/>
      <c r="Q36" s="150"/>
      <c r="R36" s="131"/>
      <c r="S36" s="131"/>
      <c r="T36" s="131"/>
      <c r="U36" s="131"/>
      <c r="V36" s="131"/>
      <c r="W36" s="131"/>
      <c r="X36" s="131"/>
      <c r="Y36" s="131"/>
      <c r="Z36" s="142"/>
      <c r="AA36" s="142"/>
    </row>
    <row r="37" spans="1:27" ht="15.75" customHeight="1">
      <c r="A37" s="483"/>
      <c r="B37" s="14"/>
      <c r="C37" s="61" t="s">
        <v>69</v>
      </c>
      <c r="D37" s="53"/>
      <c r="E37" s="97"/>
      <c r="F37" s="155">
        <v>1801</v>
      </c>
      <c r="G37" s="145">
        <v>1831</v>
      </c>
      <c r="H37" s="112">
        <v>1102</v>
      </c>
      <c r="I37" s="114">
        <v>1153</v>
      </c>
      <c r="J37" s="112">
        <v>464</v>
      </c>
      <c r="K37" s="115">
        <v>453</v>
      </c>
      <c r="L37" s="112"/>
      <c r="M37" s="113"/>
      <c r="N37" s="112"/>
      <c r="O37" s="115"/>
      <c r="P37" s="112"/>
      <c r="Q37" s="145"/>
      <c r="R37" s="131"/>
      <c r="S37" s="131"/>
      <c r="T37" s="131"/>
      <c r="U37" s="131"/>
      <c r="V37" s="131"/>
      <c r="W37" s="131"/>
      <c r="X37" s="131"/>
      <c r="Y37" s="131"/>
      <c r="Z37" s="142"/>
      <c r="AA37" s="142"/>
    </row>
    <row r="38" spans="1:27" ht="15.75" customHeight="1">
      <c r="A38" s="483"/>
      <c r="B38" s="11"/>
      <c r="C38" s="61" t="s">
        <v>70</v>
      </c>
      <c r="D38" s="53"/>
      <c r="E38" s="97"/>
      <c r="F38" s="155">
        <v>19</v>
      </c>
      <c r="G38" s="145">
        <v>18</v>
      </c>
      <c r="H38" s="112">
        <v>1535</v>
      </c>
      <c r="I38" s="114">
        <v>1537</v>
      </c>
      <c r="J38" s="112">
        <v>285</v>
      </c>
      <c r="K38" s="140">
        <v>316</v>
      </c>
      <c r="L38" s="112"/>
      <c r="M38" s="113"/>
      <c r="N38" s="112"/>
      <c r="O38" s="140"/>
      <c r="P38" s="112"/>
      <c r="Q38" s="145"/>
      <c r="R38" s="131"/>
      <c r="S38" s="131"/>
      <c r="T38" s="142"/>
      <c r="U38" s="142"/>
      <c r="V38" s="131"/>
      <c r="W38" s="131"/>
      <c r="X38" s="131"/>
      <c r="Y38" s="131"/>
      <c r="Z38" s="142"/>
      <c r="AA38" s="142"/>
    </row>
    <row r="39" spans="1:27" ht="15.75" customHeight="1">
      <c r="A39" s="484"/>
      <c r="B39" s="6" t="s">
        <v>71</v>
      </c>
      <c r="C39" s="7"/>
      <c r="D39" s="7"/>
      <c r="E39" s="105" t="s">
        <v>98</v>
      </c>
      <c r="F39" s="159">
        <f aca="true" t="shared" si="8" ref="F39:Q39">F32-F36</f>
        <v>187</v>
      </c>
      <c r="G39" s="146">
        <f t="shared" si="8"/>
        <v>280</v>
      </c>
      <c r="H39" s="159">
        <f t="shared" si="8"/>
        <v>0</v>
      </c>
      <c r="I39" s="146">
        <f t="shared" si="8"/>
        <v>29</v>
      </c>
      <c r="J39" s="159">
        <f t="shared" si="8"/>
        <v>1106</v>
      </c>
      <c r="K39" s="146">
        <f t="shared" si="8"/>
        <v>1008</v>
      </c>
      <c r="L39" s="159">
        <f t="shared" si="8"/>
        <v>0</v>
      </c>
      <c r="M39" s="146">
        <f t="shared" si="8"/>
        <v>0</v>
      </c>
      <c r="N39" s="159">
        <f t="shared" si="8"/>
        <v>0</v>
      </c>
      <c r="O39" s="146">
        <f t="shared" si="8"/>
        <v>0</v>
      </c>
      <c r="P39" s="159">
        <f t="shared" si="8"/>
        <v>0</v>
      </c>
      <c r="Q39" s="146">
        <f t="shared" si="8"/>
        <v>0</v>
      </c>
      <c r="R39" s="131"/>
      <c r="S39" s="131"/>
      <c r="T39" s="131"/>
      <c r="U39" s="131"/>
      <c r="V39" s="131"/>
      <c r="W39" s="131"/>
      <c r="X39" s="131"/>
      <c r="Y39" s="131"/>
      <c r="Z39" s="142"/>
      <c r="AA39" s="142"/>
    </row>
    <row r="40" spans="1:27" ht="15.75" customHeight="1">
      <c r="A40" s="460" t="s">
        <v>87</v>
      </c>
      <c r="B40" s="66" t="s">
        <v>72</v>
      </c>
      <c r="C40" s="69"/>
      <c r="D40" s="69"/>
      <c r="E40" s="16" t="s">
        <v>40</v>
      </c>
      <c r="F40" s="157">
        <v>29</v>
      </c>
      <c r="G40" s="150">
        <v>28</v>
      </c>
      <c r="H40" s="130">
        <v>0</v>
      </c>
      <c r="I40" s="132">
        <v>0</v>
      </c>
      <c r="J40" s="130">
        <v>241</v>
      </c>
      <c r="K40" s="133">
        <v>241</v>
      </c>
      <c r="L40" s="130"/>
      <c r="M40" s="131"/>
      <c r="N40" s="130"/>
      <c r="O40" s="133"/>
      <c r="P40" s="130"/>
      <c r="Q40" s="150"/>
      <c r="R40" s="131"/>
      <c r="S40" s="131"/>
      <c r="T40" s="131"/>
      <c r="U40" s="131"/>
      <c r="V40" s="142"/>
      <c r="W40" s="142"/>
      <c r="X40" s="142"/>
      <c r="Y40" s="142"/>
      <c r="Z40" s="131"/>
      <c r="AA40" s="131"/>
    </row>
    <row r="41" spans="1:27" ht="15.75" customHeight="1">
      <c r="A41" s="485"/>
      <c r="B41" s="11"/>
      <c r="C41" s="61" t="s">
        <v>73</v>
      </c>
      <c r="D41" s="53"/>
      <c r="E41" s="97"/>
      <c r="F41" s="161">
        <v>0</v>
      </c>
      <c r="G41" s="163" t="s">
        <v>329</v>
      </c>
      <c r="H41" s="139">
        <v>0</v>
      </c>
      <c r="I41" s="140">
        <v>0</v>
      </c>
      <c r="J41" s="112">
        <v>0</v>
      </c>
      <c r="K41" s="115">
        <v>0</v>
      </c>
      <c r="L41" s="112"/>
      <c r="M41" s="113"/>
      <c r="N41" s="112"/>
      <c r="O41" s="115"/>
      <c r="P41" s="112"/>
      <c r="Q41" s="145"/>
      <c r="R41" s="142"/>
      <c r="S41" s="142"/>
      <c r="T41" s="142"/>
      <c r="U41" s="142"/>
      <c r="V41" s="142"/>
      <c r="W41" s="142"/>
      <c r="X41" s="142"/>
      <c r="Y41" s="142"/>
      <c r="Z41" s="131"/>
      <c r="AA41" s="131"/>
    </row>
    <row r="42" spans="1:27" ht="15.75" customHeight="1">
      <c r="A42" s="485"/>
      <c r="B42" s="66" t="s">
        <v>60</v>
      </c>
      <c r="C42" s="69"/>
      <c r="D42" s="69"/>
      <c r="E42" s="16" t="s">
        <v>41</v>
      </c>
      <c r="F42" s="157">
        <v>216</v>
      </c>
      <c r="G42" s="150">
        <v>308</v>
      </c>
      <c r="H42" s="130">
        <v>0</v>
      </c>
      <c r="I42" s="132">
        <v>29</v>
      </c>
      <c r="J42" s="130">
        <v>1347</v>
      </c>
      <c r="K42" s="133">
        <v>1249</v>
      </c>
      <c r="L42" s="130"/>
      <c r="M42" s="131"/>
      <c r="N42" s="130"/>
      <c r="O42" s="133"/>
      <c r="P42" s="130"/>
      <c r="Q42" s="150"/>
      <c r="R42" s="131"/>
      <c r="S42" s="131"/>
      <c r="T42" s="131"/>
      <c r="U42" s="131"/>
      <c r="V42" s="142"/>
      <c r="W42" s="142"/>
      <c r="X42" s="131"/>
      <c r="Y42" s="131"/>
      <c r="Z42" s="131"/>
      <c r="AA42" s="131"/>
    </row>
    <row r="43" spans="1:27" ht="15.75" customHeight="1">
      <c r="A43" s="485"/>
      <c r="B43" s="11"/>
      <c r="C43" s="61" t="s">
        <v>74</v>
      </c>
      <c r="D43" s="53"/>
      <c r="E43" s="97"/>
      <c r="F43" s="155">
        <v>57</v>
      </c>
      <c r="G43" s="145">
        <v>56</v>
      </c>
      <c r="H43" s="112">
        <v>0</v>
      </c>
      <c r="I43" s="114">
        <v>29</v>
      </c>
      <c r="J43" s="139">
        <v>1199</v>
      </c>
      <c r="K43" s="140">
        <v>1168</v>
      </c>
      <c r="L43" s="112"/>
      <c r="M43" s="113"/>
      <c r="N43" s="139"/>
      <c r="O43" s="140"/>
      <c r="P43" s="112"/>
      <c r="Q43" s="145"/>
      <c r="R43" s="131"/>
      <c r="S43" s="131"/>
      <c r="T43" s="142"/>
      <c r="U43" s="131"/>
      <c r="V43" s="142"/>
      <c r="W43" s="142"/>
      <c r="X43" s="131"/>
      <c r="Y43" s="131"/>
      <c r="Z43" s="142"/>
      <c r="AA43" s="142"/>
    </row>
    <row r="44" spans="1:27" ht="15.75" customHeight="1">
      <c r="A44" s="486"/>
      <c r="B44" s="59" t="s">
        <v>71</v>
      </c>
      <c r="C44" s="37"/>
      <c r="D44" s="37"/>
      <c r="E44" s="105" t="s">
        <v>99</v>
      </c>
      <c r="F44" s="156">
        <f aca="true" t="shared" si="9" ref="F44:Q44">F40-F42</f>
        <v>-187</v>
      </c>
      <c r="G44" s="160">
        <f t="shared" si="9"/>
        <v>-280</v>
      </c>
      <c r="H44" s="156">
        <f t="shared" si="9"/>
        <v>0</v>
      </c>
      <c r="I44" s="160">
        <f t="shared" si="9"/>
        <v>-29</v>
      </c>
      <c r="J44" s="156">
        <f t="shared" si="9"/>
        <v>-1106</v>
      </c>
      <c r="K44" s="160">
        <f t="shared" si="9"/>
        <v>-1008</v>
      </c>
      <c r="L44" s="156">
        <f t="shared" si="9"/>
        <v>0</v>
      </c>
      <c r="M44" s="160">
        <f t="shared" si="9"/>
        <v>0</v>
      </c>
      <c r="N44" s="156">
        <f t="shared" si="9"/>
        <v>0</v>
      </c>
      <c r="O44" s="160">
        <f t="shared" si="9"/>
        <v>0</v>
      </c>
      <c r="P44" s="156">
        <f t="shared" si="9"/>
        <v>0</v>
      </c>
      <c r="Q44" s="160">
        <f t="shared" si="9"/>
        <v>0</v>
      </c>
      <c r="R44" s="142"/>
      <c r="S44" s="142"/>
      <c r="T44" s="131"/>
      <c r="U44" s="131"/>
      <c r="V44" s="142"/>
      <c r="W44" s="142"/>
      <c r="X44" s="131"/>
      <c r="Y44" s="131"/>
      <c r="Z44" s="131"/>
      <c r="AA44" s="131"/>
    </row>
    <row r="45" spans="1:27" ht="15.75" customHeight="1">
      <c r="A45" s="487" t="s">
        <v>79</v>
      </c>
      <c r="B45" s="20" t="s">
        <v>75</v>
      </c>
      <c r="C45" s="9"/>
      <c r="D45" s="9"/>
      <c r="E45" s="106" t="s">
        <v>100</v>
      </c>
      <c r="F45" s="162">
        <f aca="true" t="shared" si="10" ref="F45:Q45">F39+F44</f>
        <v>0</v>
      </c>
      <c r="G45" s="147">
        <f t="shared" si="10"/>
        <v>0</v>
      </c>
      <c r="H45" s="162">
        <f t="shared" si="10"/>
        <v>0</v>
      </c>
      <c r="I45" s="147">
        <f t="shared" si="10"/>
        <v>0</v>
      </c>
      <c r="J45" s="162">
        <f t="shared" si="10"/>
        <v>0</v>
      </c>
      <c r="K45" s="147">
        <f t="shared" si="10"/>
        <v>0</v>
      </c>
      <c r="L45" s="162">
        <f t="shared" si="10"/>
        <v>0</v>
      </c>
      <c r="M45" s="147">
        <f t="shared" si="10"/>
        <v>0</v>
      </c>
      <c r="N45" s="162">
        <f t="shared" si="10"/>
        <v>0</v>
      </c>
      <c r="O45" s="147">
        <f t="shared" si="10"/>
        <v>0</v>
      </c>
      <c r="P45" s="162">
        <f t="shared" si="10"/>
        <v>0</v>
      </c>
      <c r="Q45" s="147">
        <f t="shared" si="10"/>
        <v>0</v>
      </c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7" ht="15.75" customHeight="1">
      <c r="A46" s="488"/>
      <c r="B46" s="52" t="s">
        <v>76</v>
      </c>
      <c r="C46" s="53"/>
      <c r="D46" s="53"/>
      <c r="E46" s="53"/>
      <c r="F46" s="161">
        <v>0</v>
      </c>
      <c r="G46" s="163">
        <v>0</v>
      </c>
      <c r="H46" s="139">
        <v>0</v>
      </c>
      <c r="I46" s="140">
        <v>0</v>
      </c>
      <c r="J46" s="139">
        <v>0</v>
      </c>
      <c r="K46" s="140">
        <v>0</v>
      </c>
      <c r="L46" s="112"/>
      <c r="M46" s="113"/>
      <c r="N46" s="139"/>
      <c r="O46" s="140"/>
      <c r="P46" s="139"/>
      <c r="Q46" s="126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5.75" customHeight="1">
      <c r="A47" s="488"/>
      <c r="B47" s="52" t="s">
        <v>77</v>
      </c>
      <c r="C47" s="53"/>
      <c r="D47" s="53"/>
      <c r="E47" s="53"/>
      <c r="F47" s="155">
        <v>0</v>
      </c>
      <c r="G47" s="145">
        <v>0</v>
      </c>
      <c r="H47" s="112">
        <v>0</v>
      </c>
      <c r="I47" s="114">
        <v>0</v>
      </c>
      <c r="J47" s="112">
        <v>0</v>
      </c>
      <c r="K47" s="115">
        <v>0</v>
      </c>
      <c r="L47" s="112"/>
      <c r="M47" s="113"/>
      <c r="N47" s="112"/>
      <c r="O47" s="115"/>
      <c r="P47" s="112"/>
      <c r="Q47" s="145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27" ht="15.75" customHeight="1">
      <c r="A48" s="489"/>
      <c r="B48" s="59" t="s">
        <v>78</v>
      </c>
      <c r="C48" s="37"/>
      <c r="D48" s="37"/>
      <c r="E48" s="37"/>
      <c r="F48" s="135">
        <v>0</v>
      </c>
      <c r="G48" s="136">
        <v>0</v>
      </c>
      <c r="H48" s="135">
        <v>0</v>
      </c>
      <c r="I48" s="137">
        <v>0</v>
      </c>
      <c r="J48" s="135">
        <v>0</v>
      </c>
      <c r="K48" s="138">
        <v>0</v>
      </c>
      <c r="L48" s="135"/>
      <c r="M48" s="136"/>
      <c r="N48" s="135"/>
      <c r="O48" s="138"/>
      <c r="P48" s="135"/>
      <c r="Q48" s="146"/>
      <c r="R48" s="131"/>
      <c r="S48" s="131"/>
      <c r="T48" s="131"/>
      <c r="U48" s="131"/>
      <c r="V48" s="131"/>
      <c r="W48" s="131"/>
      <c r="X48" s="131"/>
      <c r="Y48" s="131"/>
      <c r="Z48" s="131"/>
      <c r="AA48" s="131"/>
    </row>
    <row r="49" spans="1:18" ht="15.75" customHeight="1">
      <c r="A49" s="27" t="s">
        <v>83</v>
      </c>
      <c r="Q49" s="14"/>
      <c r="R49" s="14"/>
    </row>
    <row r="50" spans="1:18" ht="15.75" customHeight="1">
      <c r="A50" s="27"/>
      <c r="Q50" s="14"/>
      <c r="R50" s="14"/>
    </row>
  </sheetData>
  <sheetProtection/>
  <mergeCells count="42">
    <mergeCell ref="P30:Q30"/>
    <mergeCell ref="A32:A39"/>
    <mergeCell ref="A40:A44"/>
    <mergeCell ref="A45:A48"/>
    <mergeCell ref="Z25:Z26"/>
    <mergeCell ref="AA25:AA26"/>
    <mergeCell ref="O25:O26"/>
    <mergeCell ref="P25:P26"/>
    <mergeCell ref="Q25:Q26"/>
    <mergeCell ref="Y25:Y26"/>
    <mergeCell ref="AB25:AB26"/>
    <mergeCell ref="AC25:AC26"/>
    <mergeCell ref="A30:E31"/>
    <mergeCell ref="F30:G30"/>
    <mergeCell ref="H30:I30"/>
    <mergeCell ref="J30:K30"/>
    <mergeCell ref="L30:M30"/>
    <mergeCell ref="N30:O30"/>
    <mergeCell ref="M25:M26"/>
    <mergeCell ref="N25:N26"/>
    <mergeCell ref="A19:A27"/>
    <mergeCell ref="U19:U27"/>
    <mergeCell ref="E25:E26"/>
    <mergeCell ref="F25:F26"/>
    <mergeCell ref="G25:G26"/>
    <mergeCell ref="H25:H26"/>
    <mergeCell ref="I25:I26"/>
    <mergeCell ref="J25:J26"/>
    <mergeCell ref="K25:K26"/>
    <mergeCell ref="L25:L26"/>
    <mergeCell ref="A8:A18"/>
    <mergeCell ref="U8:U18"/>
    <mergeCell ref="A6:E7"/>
    <mergeCell ref="F6:G6"/>
    <mergeCell ref="H6:I6"/>
    <mergeCell ref="J6:K6"/>
    <mergeCell ref="L6:M6"/>
    <mergeCell ref="N6:O6"/>
    <mergeCell ref="P6:Q6"/>
    <mergeCell ref="U6:Y7"/>
    <mergeCell ref="Z6:AB6"/>
    <mergeCell ref="AC6:AC7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6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F30" sqref="F30:K31"/>
      <selection pane="topRight" activeCell="F30" sqref="F30:K31"/>
      <selection pane="bottomLeft" activeCell="F30" sqref="F30:K31"/>
      <selection pane="bottomRight" activeCell="E2" sqref="E2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429" t="s">
        <v>0</v>
      </c>
      <c r="B1" s="429"/>
      <c r="C1" s="429"/>
      <c r="D1" s="429"/>
      <c r="E1" s="76" t="s">
        <v>348</v>
      </c>
      <c r="F1" s="2"/>
      <c r="AA1" s="445" t="s">
        <v>129</v>
      </c>
      <c r="AB1" s="445"/>
    </row>
    <row r="2" spans="27:37" ht="13.5">
      <c r="AA2" s="444" t="s">
        <v>106</v>
      </c>
      <c r="AB2" s="444"/>
      <c r="AC2" s="438" t="s">
        <v>107</v>
      </c>
      <c r="AD2" s="435" t="s">
        <v>108</v>
      </c>
      <c r="AE2" s="446"/>
      <c r="AF2" s="447"/>
      <c r="AG2" s="444" t="s">
        <v>109</v>
      </c>
      <c r="AH2" s="444" t="s">
        <v>110</v>
      </c>
      <c r="AI2" s="444" t="s">
        <v>111</v>
      </c>
      <c r="AJ2" s="444" t="s">
        <v>112</v>
      </c>
      <c r="AK2" s="444" t="s">
        <v>113</v>
      </c>
    </row>
    <row r="3" spans="1:37" ht="14.25">
      <c r="A3" s="22" t="s">
        <v>130</v>
      </c>
      <c r="AA3" s="444"/>
      <c r="AB3" s="444"/>
      <c r="AC3" s="440"/>
      <c r="AD3" s="165"/>
      <c r="AE3" s="164" t="s">
        <v>126</v>
      </c>
      <c r="AF3" s="164" t="s">
        <v>127</v>
      </c>
      <c r="AG3" s="444"/>
      <c r="AH3" s="444"/>
      <c r="AI3" s="444"/>
      <c r="AJ3" s="444"/>
      <c r="AK3" s="444"/>
    </row>
    <row r="4" spans="27:38" ht="13.5">
      <c r="AA4" s="166" t="str">
        <f>E1</f>
        <v>大阪市</v>
      </c>
      <c r="AB4" s="166" t="s">
        <v>131</v>
      </c>
      <c r="AC4" s="167">
        <f>SUM(F22)</f>
        <v>1574838</v>
      </c>
      <c r="AD4" s="167">
        <f>F9</f>
        <v>659473</v>
      </c>
      <c r="AE4" s="167">
        <f>F10</f>
        <v>268822</v>
      </c>
      <c r="AF4" s="167">
        <f>F13</f>
        <v>275708</v>
      </c>
      <c r="AG4" s="167">
        <f>F14</f>
        <v>6171</v>
      </c>
      <c r="AH4" s="167">
        <f>F15</f>
        <v>32905</v>
      </c>
      <c r="AI4" s="167">
        <f>F17</f>
        <v>366554</v>
      </c>
      <c r="AJ4" s="167">
        <f>F20</f>
        <v>91432</v>
      </c>
      <c r="AK4" s="167">
        <f>F21</f>
        <v>251155</v>
      </c>
      <c r="AL4" s="168"/>
    </row>
    <row r="5" spans="1:37" ht="14.25">
      <c r="A5" s="21" t="s">
        <v>249</v>
      </c>
      <c r="E5" s="3"/>
      <c r="AA5" s="166" t="str">
        <f>E1</f>
        <v>大阪市</v>
      </c>
      <c r="AB5" s="166" t="s">
        <v>115</v>
      </c>
      <c r="AC5" s="169"/>
      <c r="AD5" s="169">
        <f>G9</f>
        <v>41.87560879277741</v>
      </c>
      <c r="AE5" s="169">
        <f>G10</f>
        <v>17.06981924490011</v>
      </c>
      <c r="AF5" s="169">
        <f>G13</f>
        <v>17.50707056852832</v>
      </c>
      <c r="AG5" s="169">
        <f>G14</f>
        <v>0.3918498283632983</v>
      </c>
      <c r="AH5" s="169">
        <f>G15</f>
        <v>2.089421261107492</v>
      </c>
      <c r="AI5" s="169">
        <f>G17</f>
        <v>23.275663909557682</v>
      </c>
      <c r="AJ5" s="169">
        <f>G20</f>
        <v>5.805803517568156</v>
      </c>
      <c r="AK5" s="169">
        <f>G21</f>
        <v>15.947989570990796</v>
      </c>
    </row>
    <row r="6" spans="1:37" ht="14.25">
      <c r="A6" s="3"/>
      <c r="G6" s="433" t="s">
        <v>132</v>
      </c>
      <c r="H6" s="434"/>
      <c r="I6" s="43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AA6" s="166" t="str">
        <f>E1</f>
        <v>大阪市</v>
      </c>
      <c r="AB6" s="166" t="s">
        <v>116</v>
      </c>
      <c r="AC6" s="169">
        <f>SUM(I22)</f>
        <v>-3.501568337415284</v>
      </c>
      <c r="AD6" s="169">
        <f>I9</f>
        <v>-0.093169395595738</v>
      </c>
      <c r="AE6" s="169">
        <f>I10</f>
        <v>-1.9191336899176181</v>
      </c>
      <c r="AF6" s="169">
        <f>I13</f>
        <v>1.5375663363200731</v>
      </c>
      <c r="AG6" s="169">
        <f>I14</f>
        <v>-0.3552397868561319</v>
      </c>
      <c r="AH6" s="169">
        <f>I15</f>
        <v>-21.45090830966079</v>
      </c>
      <c r="AI6" s="169">
        <f>I17</f>
        <v>2.504774928201292</v>
      </c>
      <c r="AJ6" s="169">
        <f>I20</f>
        <v>-10.234937215900718</v>
      </c>
      <c r="AK6" s="169">
        <f>I21</f>
        <v>-10.634035603346126</v>
      </c>
    </row>
    <row r="7" spans="1:25" ht="27" customHeight="1">
      <c r="A7" s="19"/>
      <c r="B7" s="5"/>
      <c r="C7" s="5"/>
      <c r="D7" s="5"/>
      <c r="E7" s="23"/>
      <c r="F7" s="62" t="s">
        <v>250</v>
      </c>
      <c r="G7" s="63"/>
      <c r="H7" s="240" t="s">
        <v>1</v>
      </c>
      <c r="I7" s="175" t="s">
        <v>21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41"/>
      <c r="I8" s="18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9" ht="18" customHeight="1">
      <c r="A9" s="430" t="s">
        <v>80</v>
      </c>
      <c r="B9" s="430" t="s">
        <v>81</v>
      </c>
      <c r="C9" s="47" t="s">
        <v>3</v>
      </c>
      <c r="D9" s="48"/>
      <c r="E9" s="49"/>
      <c r="F9" s="77">
        <v>659473</v>
      </c>
      <c r="G9" s="78">
        <f aca="true" t="shared" si="0" ref="G9:G22">F9/$F$22*100</f>
        <v>41.87560879277741</v>
      </c>
      <c r="H9" s="77">
        <v>660088</v>
      </c>
      <c r="I9" s="242">
        <f aca="true" t="shared" si="1" ref="I9:I40">(F9/H9-1)*100</f>
        <v>-0.093169395595738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AA9" s="441" t="s">
        <v>129</v>
      </c>
      <c r="AB9" s="442"/>
      <c r="AC9" s="443" t="s">
        <v>117</v>
      </c>
    </row>
    <row r="10" spans="1:37" ht="18" customHeight="1">
      <c r="A10" s="431"/>
      <c r="B10" s="431"/>
      <c r="C10" s="8"/>
      <c r="D10" s="50" t="s">
        <v>22</v>
      </c>
      <c r="E10" s="30"/>
      <c r="F10" s="80">
        <v>268822</v>
      </c>
      <c r="G10" s="81">
        <f t="shared" si="0"/>
        <v>17.06981924490011</v>
      </c>
      <c r="H10" s="80">
        <v>274082</v>
      </c>
      <c r="I10" s="243">
        <f t="shared" si="1"/>
        <v>-1.9191336899176181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AA10" s="444" t="s">
        <v>106</v>
      </c>
      <c r="AB10" s="444"/>
      <c r="AC10" s="443"/>
      <c r="AD10" s="435" t="s">
        <v>118</v>
      </c>
      <c r="AE10" s="446"/>
      <c r="AF10" s="447"/>
      <c r="AG10" s="435" t="s">
        <v>119</v>
      </c>
      <c r="AH10" s="436"/>
      <c r="AI10" s="437"/>
      <c r="AJ10" s="435" t="s">
        <v>120</v>
      </c>
      <c r="AK10" s="437"/>
    </row>
    <row r="11" spans="1:37" ht="18" customHeight="1">
      <c r="A11" s="431"/>
      <c r="B11" s="431"/>
      <c r="C11" s="34"/>
      <c r="D11" s="35"/>
      <c r="E11" s="33" t="s">
        <v>23</v>
      </c>
      <c r="F11" s="83">
        <v>142242</v>
      </c>
      <c r="G11" s="84">
        <f t="shared" si="0"/>
        <v>9.032167118141675</v>
      </c>
      <c r="H11" s="83">
        <v>138117</v>
      </c>
      <c r="I11" s="244">
        <f t="shared" si="1"/>
        <v>2.9865983188166467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AA11" s="444"/>
      <c r="AB11" s="444"/>
      <c r="AC11" s="441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431"/>
      <c r="B12" s="431"/>
      <c r="C12" s="34"/>
      <c r="D12" s="36"/>
      <c r="E12" s="33" t="s">
        <v>24</v>
      </c>
      <c r="F12" s="83">
        <v>18631</v>
      </c>
      <c r="G12" s="84">
        <f t="shared" si="0"/>
        <v>1.1830423192734745</v>
      </c>
      <c r="H12" s="83">
        <v>113934</v>
      </c>
      <c r="I12" s="244">
        <f t="shared" si="1"/>
        <v>-83.64755033615954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AA12" s="166" t="str">
        <f>E1</f>
        <v>大阪市</v>
      </c>
      <c r="AB12" s="166" t="s">
        <v>131</v>
      </c>
      <c r="AC12" s="167">
        <f>F40</f>
        <v>1572848</v>
      </c>
      <c r="AD12" s="167">
        <f>F23</f>
        <v>1004165</v>
      </c>
      <c r="AE12" s="167">
        <f>F24</f>
        <v>196519</v>
      </c>
      <c r="AF12" s="167">
        <f>F26</f>
        <v>265961</v>
      </c>
      <c r="AG12" s="167">
        <f>F27</f>
        <v>468571</v>
      </c>
      <c r="AH12" s="167">
        <f>F28</f>
        <v>112244</v>
      </c>
      <c r="AI12" s="167">
        <f>F32</f>
        <v>6520</v>
      </c>
      <c r="AJ12" s="167">
        <f>F34</f>
        <v>100112</v>
      </c>
      <c r="AK12" s="167">
        <f>F35</f>
        <v>100112</v>
      </c>
      <c r="AL12" s="171"/>
    </row>
    <row r="13" spans="1:37" ht="18" customHeight="1">
      <c r="A13" s="431"/>
      <c r="B13" s="431"/>
      <c r="C13" s="11"/>
      <c r="D13" s="31" t="s">
        <v>25</v>
      </c>
      <c r="E13" s="32"/>
      <c r="F13" s="86">
        <v>275708</v>
      </c>
      <c r="G13" s="87">
        <f t="shared" si="0"/>
        <v>17.50707056852832</v>
      </c>
      <c r="H13" s="86">
        <v>271533</v>
      </c>
      <c r="I13" s="245">
        <f t="shared" si="1"/>
        <v>1.5375663363200731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AA13" s="166" t="str">
        <f>E1</f>
        <v>大阪市</v>
      </c>
      <c r="AB13" s="166" t="s">
        <v>115</v>
      </c>
      <c r="AC13" s="169"/>
      <c r="AD13" s="169">
        <f>G23</f>
        <v>63.84374078105449</v>
      </c>
      <c r="AE13" s="169">
        <f>G24</f>
        <v>12.494468632696867</v>
      </c>
      <c r="AF13" s="169">
        <f>G26</f>
        <v>16.90951700355025</v>
      </c>
      <c r="AG13" s="169">
        <f>G27</f>
        <v>29.791244926401028</v>
      </c>
      <c r="AH13" s="169">
        <f>G28</f>
        <v>7.136353926126364</v>
      </c>
      <c r="AI13" s="169">
        <f>G32</f>
        <v>0.41453465306247017</v>
      </c>
      <c r="AJ13" s="169">
        <f>G34</f>
        <v>6.36501429254448</v>
      </c>
      <c r="AK13" s="169">
        <f>G35</f>
        <v>6.36501429254448</v>
      </c>
    </row>
    <row r="14" spans="1:37" ht="18" customHeight="1">
      <c r="A14" s="431"/>
      <c r="B14" s="431"/>
      <c r="C14" s="52" t="s">
        <v>4</v>
      </c>
      <c r="D14" s="53"/>
      <c r="E14" s="54"/>
      <c r="F14" s="83">
        <v>6171</v>
      </c>
      <c r="G14" s="84">
        <f t="shared" si="0"/>
        <v>0.3918498283632983</v>
      </c>
      <c r="H14" s="83">
        <v>6193</v>
      </c>
      <c r="I14" s="244">
        <f t="shared" si="1"/>
        <v>-0.3552397868561319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AA14" s="166" t="str">
        <f>E1</f>
        <v>大阪市</v>
      </c>
      <c r="AB14" s="166" t="s">
        <v>116</v>
      </c>
      <c r="AC14" s="169">
        <f>I40</f>
        <v>-3.5105789740704885</v>
      </c>
      <c r="AD14" s="169">
        <f>I23</f>
        <v>-0.6029164884940097</v>
      </c>
      <c r="AE14" s="169">
        <f>I24</f>
        <v>-3.499226595300642</v>
      </c>
      <c r="AF14" s="169">
        <f>I26</f>
        <v>-4.475923325299991</v>
      </c>
      <c r="AG14" s="169">
        <f>I27</f>
        <v>-9.7057837352439</v>
      </c>
      <c r="AH14" s="169">
        <f>I28</f>
        <v>-0.3913564360828903</v>
      </c>
      <c r="AI14" s="169">
        <f>I32</f>
        <v>-47.457490531066156</v>
      </c>
      <c r="AJ14" s="169">
        <f>I34</f>
        <v>-0.7603168151944395</v>
      </c>
      <c r="AK14" s="169">
        <f>I35</f>
        <v>-0.7603168151944395</v>
      </c>
    </row>
    <row r="15" spans="1:25" ht="18" customHeight="1">
      <c r="A15" s="431"/>
      <c r="B15" s="431"/>
      <c r="C15" s="52" t="s">
        <v>5</v>
      </c>
      <c r="D15" s="53"/>
      <c r="E15" s="54"/>
      <c r="F15" s="83">
        <v>32905</v>
      </c>
      <c r="G15" s="84">
        <f t="shared" si="0"/>
        <v>2.089421261107492</v>
      </c>
      <c r="H15" s="83">
        <v>41891</v>
      </c>
      <c r="I15" s="244">
        <f t="shared" si="1"/>
        <v>-21.45090830966079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ht="18" customHeight="1">
      <c r="A16" s="431"/>
      <c r="B16" s="431"/>
      <c r="C16" s="52" t="s">
        <v>26</v>
      </c>
      <c r="D16" s="53"/>
      <c r="E16" s="54"/>
      <c r="F16" s="83">
        <v>67109</v>
      </c>
      <c r="G16" s="84">
        <f t="shared" si="0"/>
        <v>4.261327196829134</v>
      </c>
      <c r="H16" s="83">
        <v>65131</v>
      </c>
      <c r="I16" s="244">
        <f t="shared" si="1"/>
        <v>3.036956288096304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ht="18" customHeight="1">
      <c r="A17" s="431"/>
      <c r="B17" s="431"/>
      <c r="C17" s="52" t="s">
        <v>6</v>
      </c>
      <c r="D17" s="53"/>
      <c r="E17" s="54"/>
      <c r="F17" s="83">
        <v>366554</v>
      </c>
      <c r="G17" s="84">
        <f t="shared" si="0"/>
        <v>23.275663909557682</v>
      </c>
      <c r="H17" s="83">
        <v>357597</v>
      </c>
      <c r="I17" s="244">
        <f t="shared" si="1"/>
        <v>2.504774928201292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18" customHeight="1">
      <c r="A18" s="431"/>
      <c r="B18" s="431"/>
      <c r="C18" s="52" t="s">
        <v>27</v>
      </c>
      <c r="D18" s="53"/>
      <c r="E18" s="54"/>
      <c r="F18" s="83">
        <v>67461</v>
      </c>
      <c r="G18" s="84">
        <f t="shared" si="0"/>
        <v>4.28367870219032</v>
      </c>
      <c r="H18" s="83">
        <v>66127</v>
      </c>
      <c r="I18" s="244">
        <f t="shared" si="1"/>
        <v>2.0173302886869138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8" customHeight="1">
      <c r="A19" s="431"/>
      <c r="B19" s="431"/>
      <c r="C19" s="52" t="s">
        <v>28</v>
      </c>
      <c r="D19" s="53"/>
      <c r="E19" s="54"/>
      <c r="F19" s="83">
        <v>32578</v>
      </c>
      <c r="G19" s="84">
        <f t="shared" si="0"/>
        <v>2.068657220615708</v>
      </c>
      <c r="H19" s="83">
        <v>52058</v>
      </c>
      <c r="I19" s="244">
        <f t="shared" si="1"/>
        <v>-37.41980099120212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ht="18" customHeight="1">
      <c r="A20" s="431"/>
      <c r="B20" s="431"/>
      <c r="C20" s="52" t="s">
        <v>7</v>
      </c>
      <c r="D20" s="53"/>
      <c r="E20" s="54"/>
      <c r="F20" s="83">
        <v>91432</v>
      </c>
      <c r="G20" s="84">
        <f t="shared" si="0"/>
        <v>5.805803517568156</v>
      </c>
      <c r="H20" s="83">
        <v>101857</v>
      </c>
      <c r="I20" s="244">
        <f t="shared" si="1"/>
        <v>-10.234937215900718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ht="18" customHeight="1">
      <c r="A21" s="431"/>
      <c r="B21" s="431"/>
      <c r="C21" s="57" t="s">
        <v>8</v>
      </c>
      <c r="D21" s="58"/>
      <c r="E21" s="56"/>
      <c r="F21" s="89">
        <v>251155</v>
      </c>
      <c r="G21" s="90">
        <f t="shared" si="0"/>
        <v>15.947989570990796</v>
      </c>
      <c r="H21" s="89">
        <v>281041</v>
      </c>
      <c r="I21" s="246">
        <f t="shared" si="1"/>
        <v>-10.634035603346126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ht="18" customHeight="1">
      <c r="A22" s="431"/>
      <c r="B22" s="432"/>
      <c r="C22" s="59" t="s">
        <v>9</v>
      </c>
      <c r="D22" s="37"/>
      <c r="E22" s="60"/>
      <c r="F22" s="92">
        <f>SUM(F9,F14:F21)</f>
        <v>1574838</v>
      </c>
      <c r="G22" s="93">
        <f t="shared" si="0"/>
        <v>100</v>
      </c>
      <c r="H22" s="92">
        <f>SUM(H9,H14:H21)</f>
        <v>1631983</v>
      </c>
      <c r="I22" s="247">
        <f t="shared" si="1"/>
        <v>-3.501568337415284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ht="18" customHeight="1">
      <c r="A23" s="431"/>
      <c r="B23" s="430" t="s">
        <v>82</v>
      </c>
      <c r="C23" s="4" t="s">
        <v>10</v>
      </c>
      <c r="D23" s="5"/>
      <c r="E23" s="23"/>
      <c r="F23" s="77">
        <v>1004165</v>
      </c>
      <c r="G23" s="78">
        <f aca="true" t="shared" si="2" ref="G23:G40">F23/$F$40*100</f>
        <v>63.84374078105449</v>
      </c>
      <c r="H23" s="77">
        <v>1010256</v>
      </c>
      <c r="I23" s="248">
        <f t="shared" si="1"/>
        <v>-0.6029164884940097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8" customHeight="1">
      <c r="A24" s="431"/>
      <c r="B24" s="431"/>
      <c r="C24" s="8"/>
      <c r="D24" s="10" t="s">
        <v>11</v>
      </c>
      <c r="E24" s="38"/>
      <c r="F24" s="83">
        <v>196519</v>
      </c>
      <c r="G24" s="84">
        <f t="shared" si="2"/>
        <v>12.494468632696867</v>
      </c>
      <c r="H24" s="83">
        <v>203645</v>
      </c>
      <c r="I24" s="244">
        <f t="shared" si="1"/>
        <v>-3.499226595300642</v>
      </c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18" customHeight="1">
      <c r="A25" s="431"/>
      <c r="B25" s="431"/>
      <c r="C25" s="8"/>
      <c r="D25" s="10" t="s">
        <v>29</v>
      </c>
      <c r="E25" s="38"/>
      <c r="F25" s="83">
        <v>541685</v>
      </c>
      <c r="G25" s="84">
        <f t="shared" si="2"/>
        <v>34.439755144807386</v>
      </c>
      <c r="H25" s="83">
        <v>528188</v>
      </c>
      <c r="I25" s="244">
        <f t="shared" si="1"/>
        <v>2.5553401440396195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8" customHeight="1">
      <c r="A26" s="431"/>
      <c r="B26" s="431"/>
      <c r="C26" s="11"/>
      <c r="D26" s="10" t="s">
        <v>12</v>
      </c>
      <c r="E26" s="38"/>
      <c r="F26" s="83">
        <v>265961</v>
      </c>
      <c r="G26" s="84">
        <f t="shared" si="2"/>
        <v>16.90951700355025</v>
      </c>
      <c r="H26" s="83">
        <v>278423</v>
      </c>
      <c r="I26" s="244">
        <f t="shared" si="1"/>
        <v>-4.475923325299991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ht="18" customHeight="1">
      <c r="A27" s="431"/>
      <c r="B27" s="431"/>
      <c r="C27" s="8" t="s">
        <v>13</v>
      </c>
      <c r="D27" s="14"/>
      <c r="E27" s="25"/>
      <c r="F27" s="77">
        <v>468571</v>
      </c>
      <c r="G27" s="78">
        <f t="shared" si="2"/>
        <v>29.791244926401028</v>
      </c>
      <c r="H27" s="77">
        <v>518938</v>
      </c>
      <c r="I27" s="248">
        <f t="shared" si="1"/>
        <v>-9.7057837352439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8" customHeight="1">
      <c r="A28" s="431"/>
      <c r="B28" s="431"/>
      <c r="C28" s="8"/>
      <c r="D28" s="10" t="s">
        <v>14</v>
      </c>
      <c r="E28" s="38"/>
      <c r="F28" s="83">
        <v>112244</v>
      </c>
      <c r="G28" s="84">
        <f t="shared" si="2"/>
        <v>7.136353926126364</v>
      </c>
      <c r="H28" s="83">
        <v>112685</v>
      </c>
      <c r="I28" s="244">
        <f t="shared" si="1"/>
        <v>-0.3913564360828903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ht="18" customHeight="1">
      <c r="A29" s="431"/>
      <c r="B29" s="431"/>
      <c r="C29" s="8"/>
      <c r="D29" s="10" t="s">
        <v>30</v>
      </c>
      <c r="E29" s="38"/>
      <c r="F29" s="83">
        <v>15353</v>
      </c>
      <c r="G29" s="84">
        <f t="shared" si="2"/>
        <v>0.9761273816668871</v>
      </c>
      <c r="H29" s="83">
        <v>15156</v>
      </c>
      <c r="I29" s="244">
        <f t="shared" si="1"/>
        <v>1.299815254684611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18" customHeight="1">
      <c r="A30" s="431"/>
      <c r="B30" s="431"/>
      <c r="C30" s="8"/>
      <c r="D30" s="10" t="s">
        <v>31</v>
      </c>
      <c r="E30" s="38"/>
      <c r="F30" s="83">
        <v>116224</v>
      </c>
      <c r="G30" s="84">
        <f t="shared" si="2"/>
        <v>7.389398085511124</v>
      </c>
      <c r="H30" s="83">
        <v>125259</v>
      </c>
      <c r="I30" s="244">
        <f t="shared" si="1"/>
        <v>-7.213054550970388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8" customHeight="1">
      <c r="A31" s="431"/>
      <c r="B31" s="431"/>
      <c r="C31" s="8"/>
      <c r="D31" s="10" t="s">
        <v>32</v>
      </c>
      <c r="E31" s="38"/>
      <c r="F31" s="83">
        <v>127312</v>
      </c>
      <c r="G31" s="84">
        <f t="shared" si="2"/>
        <v>8.094361311455398</v>
      </c>
      <c r="H31" s="83">
        <v>153557</v>
      </c>
      <c r="I31" s="244">
        <f t="shared" si="1"/>
        <v>-17.091373235997054</v>
      </c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ht="18" customHeight="1">
      <c r="A32" s="431"/>
      <c r="B32" s="431"/>
      <c r="C32" s="8"/>
      <c r="D32" s="10" t="s">
        <v>15</v>
      </c>
      <c r="E32" s="38"/>
      <c r="F32" s="83">
        <v>6520</v>
      </c>
      <c r="G32" s="84">
        <f t="shared" si="2"/>
        <v>0.41453465306247017</v>
      </c>
      <c r="H32" s="83">
        <v>12409</v>
      </c>
      <c r="I32" s="244">
        <f t="shared" si="1"/>
        <v>-47.457490531066156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ht="18" customHeight="1">
      <c r="A33" s="431"/>
      <c r="B33" s="431"/>
      <c r="C33" s="11"/>
      <c r="D33" s="10" t="s">
        <v>33</v>
      </c>
      <c r="E33" s="38"/>
      <c r="F33" s="83">
        <v>90918</v>
      </c>
      <c r="G33" s="84">
        <f t="shared" si="2"/>
        <v>5.7804695685787815</v>
      </c>
      <c r="H33" s="83">
        <v>99871</v>
      </c>
      <c r="I33" s="244">
        <f t="shared" si="1"/>
        <v>-8.964564287931431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ht="18" customHeight="1">
      <c r="A34" s="431"/>
      <c r="B34" s="431"/>
      <c r="C34" s="8" t="s">
        <v>16</v>
      </c>
      <c r="D34" s="14"/>
      <c r="E34" s="25"/>
      <c r="F34" s="77">
        <v>100112</v>
      </c>
      <c r="G34" s="78">
        <f t="shared" si="2"/>
        <v>6.36501429254448</v>
      </c>
      <c r="H34" s="77">
        <v>100879</v>
      </c>
      <c r="I34" s="248">
        <f t="shared" si="1"/>
        <v>-0.7603168151944395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8" customHeight="1">
      <c r="A35" s="431"/>
      <c r="B35" s="431"/>
      <c r="C35" s="8"/>
      <c r="D35" s="39" t="s">
        <v>17</v>
      </c>
      <c r="E35" s="40"/>
      <c r="F35" s="80">
        <v>100112</v>
      </c>
      <c r="G35" s="81">
        <f t="shared" si="2"/>
        <v>6.36501429254448</v>
      </c>
      <c r="H35" s="80">
        <v>100879</v>
      </c>
      <c r="I35" s="243">
        <f t="shared" si="1"/>
        <v>-0.7603168151944395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8" customHeight="1">
      <c r="A36" s="431"/>
      <c r="B36" s="431"/>
      <c r="C36" s="8"/>
      <c r="D36" s="41"/>
      <c r="E36" s="153" t="s">
        <v>103</v>
      </c>
      <c r="F36" s="83">
        <v>55394</v>
      </c>
      <c r="G36" s="84">
        <f t="shared" si="2"/>
        <v>3.521891498733508</v>
      </c>
      <c r="H36" s="83">
        <v>55146</v>
      </c>
      <c r="I36" s="244">
        <f t="shared" si="1"/>
        <v>0.44971530120045955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18" customHeight="1">
      <c r="A37" s="431"/>
      <c r="B37" s="431"/>
      <c r="C37" s="8"/>
      <c r="D37" s="12"/>
      <c r="E37" s="33" t="s">
        <v>34</v>
      </c>
      <c r="F37" s="83">
        <v>41186</v>
      </c>
      <c r="G37" s="84">
        <f t="shared" si="2"/>
        <v>2.618561997090628</v>
      </c>
      <c r="H37" s="83">
        <v>45733</v>
      </c>
      <c r="I37" s="244">
        <f t="shared" si="1"/>
        <v>-9.942492292217874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18" customHeight="1">
      <c r="A38" s="431"/>
      <c r="B38" s="431"/>
      <c r="C38" s="8"/>
      <c r="D38" s="61" t="s">
        <v>35</v>
      </c>
      <c r="E38" s="54"/>
      <c r="F38" s="83">
        <v>0</v>
      </c>
      <c r="G38" s="84">
        <f t="shared" si="2"/>
        <v>0</v>
      </c>
      <c r="H38" s="83">
        <v>0</v>
      </c>
      <c r="I38" s="244" t="e">
        <f t="shared" si="1"/>
        <v>#DIV/0!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ht="18" customHeight="1">
      <c r="A39" s="431"/>
      <c r="B39" s="431"/>
      <c r="C39" s="6"/>
      <c r="D39" s="55" t="s">
        <v>36</v>
      </c>
      <c r="E39" s="56"/>
      <c r="F39" s="89">
        <v>0</v>
      </c>
      <c r="G39" s="90">
        <f t="shared" si="2"/>
        <v>0</v>
      </c>
      <c r="H39" s="89">
        <v>0</v>
      </c>
      <c r="I39" s="246" t="e">
        <f t="shared" si="1"/>
        <v>#DIV/0!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8" customHeight="1">
      <c r="A40" s="432"/>
      <c r="B40" s="432"/>
      <c r="C40" s="6" t="s">
        <v>18</v>
      </c>
      <c r="D40" s="7"/>
      <c r="E40" s="24"/>
      <c r="F40" s="92">
        <f>SUM(F23,F27,F34)</f>
        <v>1572848</v>
      </c>
      <c r="G40" s="93">
        <f t="shared" si="2"/>
        <v>100</v>
      </c>
      <c r="H40" s="92">
        <f>SUM(H23,H27,H34)</f>
        <v>1630073</v>
      </c>
      <c r="I40" s="247">
        <f t="shared" si="1"/>
        <v>-3.5105789740704885</v>
      </c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ht="18" customHeight="1">
      <c r="A41" s="151" t="s">
        <v>19</v>
      </c>
    </row>
    <row r="42" ht="18" customHeight="1">
      <c r="A42" s="152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F30" sqref="F30:K31"/>
      <selection pane="topRight" activeCell="F30" sqref="F30:K31"/>
      <selection pane="bottomLeft" activeCell="F30" sqref="F30:K31"/>
      <selection pane="bottomRight" activeCell="H17" sqref="H17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79" t="s">
        <v>0</v>
      </c>
      <c r="B1" s="179"/>
      <c r="C1" s="76" t="s">
        <v>348</v>
      </c>
      <c r="D1" s="180"/>
      <c r="E1" s="180"/>
      <c r="AA1" s="1" t="str">
        <f>C1</f>
        <v>大阪市</v>
      </c>
      <c r="AB1" s="1" t="s">
        <v>134</v>
      </c>
      <c r="AC1" s="1" t="s">
        <v>135</v>
      </c>
      <c r="AD1" s="181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2">
        <f>I7</f>
        <v>1574838</v>
      </c>
      <c r="AC2" s="182">
        <f>I9</f>
        <v>1572848</v>
      </c>
      <c r="AD2" s="182">
        <f>I10</f>
        <v>1991</v>
      </c>
      <c r="AE2" s="182">
        <f>I11</f>
        <v>1590134</v>
      </c>
      <c r="AF2" s="182">
        <f>I12</f>
        <v>400</v>
      </c>
      <c r="AG2" s="182">
        <f>I13</f>
        <v>-1</v>
      </c>
      <c r="AH2" s="1">
        <f>I14</f>
        <v>0</v>
      </c>
      <c r="AI2" s="182">
        <f>I15</f>
        <v>-1303</v>
      </c>
      <c r="AJ2" s="182">
        <f>I25</f>
        <v>763699</v>
      </c>
      <c r="AK2" s="183">
        <f>I26</f>
        <v>0.932</v>
      </c>
      <c r="AL2" s="184">
        <f>I27</f>
        <v>0.1</v>
      </c>
      <c r="AM2" s="184">
        <f>I28</f>
        <v>100.1</v>
      </c>
      <c r="AN2" s="184">
        <f>I29</f>
        <v>59.2</v>
      </c>
      <c r="AO2" s="184">
        <f>I33</f>
        <v>95.2</v>
      </c>
      <c r="AP2" s="182">
        <f>I16</f>
        <v>203032</v>
      </c>
      <c r="AQ2" s="182">
        <f>I17</f>
        <v>205878</v>
      </c>
      <c r="AR2" s="182">
        <f>I18</f>
        <v>2185864</v>
      </c>
      <c r="AS2" s="185">
        <f>I21</f>
        <v>2.8140585283442427</v>
      </c>
    </row>
    <row r="3" spans="27:45" ht="13.5">
      <c r="AA3" s="1" t="s">
        <v>152</v>
      </c>
      <c r="AB3" s="182">
        <f>H7</f>
        <v>1631983</v>
      </c>
      <c r="AC3" s="182">
        <f>H9</f>
        <v>1630073</v>
      </c>
      <c r="AD3" s="182">
        <f>H10</f>
        <v>1910</v>
      </c>
      <c r="AE3" s="182">
        <f>H11</f>
        <v>1510</v>
      </c>
      <c r="AF3" s="182">
        <f>H12</f>
        <v>401</v>
      </c>
      <c r="AG3" s="182">
        <f>H13</f>
        <v>-33</v>
      </c>
      <c r="AH3" s="1">
        <f>H14</f>
        <v>0</v>
      </c>
      <c r="AI3" s="182">
        <f>H15</f>
        <v>6115</v>
      </c>
      <c r="AJ3" s="182">
        <f>H25</f>
        <v>766606</v>
      </c>
      <c r="AK3" s="183">
        <f>H26</f>
        <v>0.923</v>
      </c>
      <c r="AL3" s="184">
        <f>H27</f>
        <v>0.1</v>
      </c>
      <c r="AM3" s="184">
        <f>H28</f>
        <v>97.6</v>
      </c>
      <c r="AN3" s="184">
        <f>H29</f>
        <v>59.3</v>
      </c>
      <c r="AO3" s="184">
        <f>H33</f>
        <v>117.1</v>
      </c>
      <c r="AP3" s="182">
        <f>H16</f>
        <v>204998</v>
      </c>
      <c r="AQ3" s="182">
        <f>H17</f>
        <v>207336</v>
      </c>
      <c r="AR3" s="182">
        <f>H18</f>
        <v>2327170</v>
      </c>
      <c r="AS3" s="185">
        <f>H21</f>
        <v>2.922325006084236</v>
      </c>
    </row>
    <row r="4" spans="1:44" ht="13.5">
      <c r="A4" s="21" t="s">
        <v>153</v>
      </c>
      <c r="AP4" s="182"/>
      <c r="AQ4" s="182"/>
      <c r="AR4" s="182"/>
    </row>
    <row r="5" ht="13.5">
      <c r="I5" s="186" t="s">
        <v>154</v>
      </c>
    </row>
    <row r="6" spans="1:9" s="173" customFormat="1" ht="29.25" customHeight="1">
      <c r="A6" s="187" t="s">
        <v>155</v>
      </c>
      <c r="B6" s="188"/>
      <c r="C6" s="188"/>
      <c r="D6" s="189"/>
      <c r="E6" s="164" t="s">
        <v>240</v>
      </c>
      <c r="F6" s="164" t="s">
        <v>241</v>
      </c>
      <c r="G6" s="164" t="s">
        <v>243</v>
      </c>
      <c r="H6" s="164" t="s">
        <v>244</v>
      </c>
      <c r="I6" s="164" t="s">
        <v>251</v>
      </c>
    </row>
    <row r="7" spans="1:9" ht="27" customHeight="1">
      <c r="A7" s="430" t="s">
        <v>156</v>
      </c>
      <c r="B7" s="47" t="s">
        <v>157</v>
      </c>
      <c r="C7" s="48"/>
      <c r="D7" s="95" t="s">
        <v>158</v>
      </c>
      <c r="E7" s="190">
        <v>1700781</v>
      </c>
      <c r="F7" s="190">
        <v>1675766</v>
      </c>
      <c r="G7" s="190">
        <v>1641158</v>
      </c>
      <c r="H7" s="190">
        <v>1631983</v>
      </c>
      <c r="I7" s="190">
        <v>1574838</v>
      </c>
    </row>
    <row r="8" spans="1:9" ht="27" customHeight="1">
      <c r="A8" s="431"/>
      <c r="B8" s="26"/>
      <c r="C8" s="61" t="s">
        <v>159</v>
      </c>
      <c r="D8" s="96" t="s">
        <v>38</v>
      </c>
      <c r="E8" s="191">
        <f>739663+1393+1</f>
        <v>741057</v>
      </c>
      <c r="F8" s="191">
        <f>751526+5318</f>
        <v>756844</v>
      </c>
      <c r="G8" s="191">
        <v>766967</v>
      </c>
      <c r="H8" s="191">
        <v>797142</v>
      </c>
      <c r="I8" s="192">
        <v>777777</v>
      </c>
    </row>
    <row r="9" spans="1:9" ht="27" customHeight="1">
      <c r="A9" s="431"/>
      <c r="B9" s="52" t="s">
        <v>160</v>
      </c>
      <c r="C9" s="53"/>
      <c r="D9" s="97"/>
      <c r="E9" s="193">
        <v>1699255</v>
      </c>
      <c r="F9" s="193">
        <v>1650402</v>
      </c>
      <c r="G9" s="193">
        <v>1635843</v>
      </c>
      <c r="H9" s="193">
        <v>1630073</v>
      </c>
      <c r="I9" s="194">
        <v>1572848</v>
      </c>
    </row>
    <row r="10" spans="1:9" ht="27" customHeight="1">
      <c r="A10" s="431"/>
      <c r="B10" s="52" t="s">
        <v>161</v>
      </c>
      <c r="C10" s="53"/>
      <c r="D10" s="97"/>
      <c r="E10" s="193">
        <v>1526</v>
      </c>
      <c r="F10" s="193">
        <v>25364</v>
      </c>
      <c r="G10" s="193">
        <v>5315</v>
      </c>
      <c r="H10" s="193">
        <v>1910</v>
      </c>
      <c r="I10" s="194">
        <v>1991</v>
      </c>
    </row>
    <row r="11" spans="1:9" ht="27" customHeight="1">
      <c r="A11" s="431"/>
      <c r="B11" s="52" t="s">
        <v>162</v>
      </c>
      <c r="C11" s="53"/>
      <c r="D11" s="97"/>
      <c r="E11" s="193">
        <v>1115</v>
      </c>
      <c r="F11" s="193">
        <v>1141</v>
      </c>
      <c r="G11" s="193">
        <v>4881</v>
      </c>
      <c r="H11" s="193">
        <v>1510</v>
      </c>
      <c r="I11" s="194">
        <v>1590134</v>
      </c>
    </row>
    <row r="12" spans="1:9" ht="27" customHeight="1">
      <c r="A12" s="431"/>
      <c r="B12" s="52" t="s">
        <v>163</v>
      </c>
      <c r="C12" s="53"/>
      <c r="D12" s="97"/>
      <c r="E12" s="193">
        <v>411</v>
      </c>
      <c r="F12" s="193">
        <v>24223</v>
      </c>
      <c r="G12" s="193">
        <v>434</v>
      </c>
      <c r="H12" s="193">
        <v>401</v>
      </c>
      <c r="I12" s="194">
        <v>400</v>
      </c>
    </row>
    <row r="13" spans="1:9" ht="27" customHeight="1">
      <c r="A13" s="431"/>
      <c r="B13" s="52" t="s">
        <v>164</v>
      </c>
      <c r="C13" s="53"/>
      <c r="D13" s="103"/>
      <c r="E13" s="195">
        <v>-42</v>
      </c>
      <c r="F13" s="195">
        <v>23812</v>
      </c>
      <c r="G13" s="195">
        <v>-23789</v>
      </c>
      <c r="H13" s="195">
        <v>-33</v>
      </c>
      <c r="I13" s="196">
        <v>-1</v>
      </c>
    </row>
    <row r="14" spans="1:9" ht="27" customHeight="1">
      <c r="A14" s="431"/>
      <c r="B14" s="107" t="s">
        <v>165</v>
      </c>
      <c r="C14" s="68"/>
      <c r="D14" s="103"/>
      <c r="E14" s="195">
        <v>1</v>
      </c>
      <c r="F14" s="195">
        <v>5</v>
      </c>
      <c r="G14" s="195">
        <v>18</v>
      </c>
      <c r="H14" s="195">
        <v>0</v>
      </c>
      <c r="I14" s="250">
        <v>0</v>
      </c>
    </row>
    <row r="15" spans="1:9" ht="27" customHeight="1">
      <c r="A15" s="431"/>
      <c r="B15" s="57" t="s">
        <v>166</v>
      </c>
      <c r="C15" s="58"/>
      <c r="D15" s="197"/>
      <c r="E15" s="198">
        <v>119028</v>
      </c>
      <c r="F15" s="198">
        <v>62861</v>
      </c>
      <c r="G15" s="198">
        <v>-22376</v>
      </c>
      <c r="H15" s="198">
        <v>6115</v>
      </c>
      <c r="I15" s="199">
        <v>-1303</v>
      </c>
    </row>
    <row r="16" spans="1:9" ht="27" customHeight="1">
      <c r="A16" s="431"/>
      <c r="B16" s="200" t="s">
        <v>167</v>
      </c>
      <c r="C16" s="201"/>
      <c r="D16" s="202" t="s">
        <v>39</v>
      </c>
      <c r="E16" s="203">
        <v>188658</v>
      </c>
      <c r="F16" s="203">
        <v>210102</v>
      </c>
      <c r="G16" s="203">
        <v>203674</v>
      </c>
      <c r="H16" s="203">
        <v>204998</v>
      </c>
      <c r="I16" s="204">
        <v>203032</v>
      </c>
    </row>
    <row r="17" spans="1:9" ht="27" customHeight="1">
      <c r="A17" s="431"/>
      <c r="B17" s="52" t="s">
        <v>168</v>
      </c>
      <c r="C17" s="53"/>
      <c r="D17" s="96" t="s">
        <v>40</v>
      </c>
      <c r="E17" s="193">
        <v>85714</v>
      </c>
      <c r="F17" s="193">
        <v>93603</v>
      </c>
      <c r="G17" s="193">
        <v>150876</v>
      </c>
      <c r="H17" s="193">
        <v>207336</v>
      </c>
      <c r="I17" s="194">
        <v>205878</v>
      </c>
    </row>
    <row r="18" spans="1:9" ht="27" customHeight="1">
      <c r="A18" s="431"/>
      <c r="B18" s="52" t="s">
        <v>169</v>
      </c>
      <c r="C18" s="53"/>
      <c r="D18" s="96" t="s">
        <v>41</v>
      </c>
      <c r="E18" s="193">
        <v>2660209</v>
      </c>
      <c r="F18" s="193">
        <v>2578573</v>
      </c>
      <c r="G18" s="193">
        <v>2473326</v>
      </c>
      <c r="H18" s="193">
        <v>2327170</v>
      </c>
      <c r="I18" s="194">
        <v>2185864</v>
      </c>
    </row>
    <row r="19" spans="1:9" ht="27" customHeight="1">
      <c r="A19" s="431"/>
      <c r="B19" s="52" t="s">
        <v>170</v>
      </c>
      <c r="C19" s="53"/>
      <c r="D19" s="96" t="s">
        <v>171</v>
      </c>
      <c r="E19" s="193">
        <v>2557265</v>
      </c>
      <c r="F19" s="193">
        <v>2462074</v>
      </c>
      <c r="G19" s="193">
        <f>G17+G18-G16</f>
        <v>2420528</v>
      </c>
      <c r="H19" s="193">
        <f>H17+H18-H16</f>
        <v>2329508</v>
      </c>
      <c r="I19" s="193">
        <f>I17+I18-I16</f>
        <v>2188710</v>
      </c>
    </row>
    <row r="20" spans="1:9" ht="27" customHeight="1">
      <c r="A20" s="431"/>
      <c r="B20" s="52" t="s">
        <v>172</v>
      </c>
      <c r="C20" s="53"/>
      <c r="D20" s="97" t="s">
        <v>173</v>
      </c>
      <c r="E20" s="205">
        <v>3.5965148993528135</v>
      </c>
      <c r="F20" s="205">
        <v>3.4311161556619463</v>
      </c>
      <c r="G20" s="205">
        <f>G18/G8</f>
        <v>3.2248141054308723</v>
      </c>
      <c r="H20" s="205">
        <f>H18/H8</f>
        <v>2.919392028020102</v>
      </c>
      <c r="I20" s="205">
        <f>I18/I8</f>
        <v>2.810399381827953</v>
      </c>
    </row>
    <row r="21" spans="1:9" ht="27" customHeight="1">
      <c r="A21" s="431"/>
      <c r="B21" s="52" t="s">
        <v>174</v>
      </c>
      <c r="C21" s="53"/>
      <c r="D21" s="97" t="s">
        <v>175</v>
      </c>
      <c r="E21" s="205">
        <v>3.4573380039288164</v>
      </c>
      <c r="F21" s="205">
        <v>3.2760995627563116</v>
      </c>
      <c r="G21" s="205">
        <f>G19/G8</f>
        <v>3.1559741162266435</v>
      </c>
      <c r="H21" s="205">
        <f>H19/H8</f>
        <v>2.922325006084236</v>
      </c>
      <c r="I21" s="205">
        <f>I19/I8</f>
        <v>2.8140585283442427</v>
      </c>
    </row>
    <row r="22" spans="1:9" ht="27" customHeight="1">
      <c r="A22" s="431"/>
      <c r="B22" s="52" t="s">
        <v>176</v>
      </c>
      <c r="C22" s="53"/>
      <c r="D22" s="97" t="s">
        <v>177</v>
      </c>
      <c r="E22" s="193">
        <v>998084.6534404578</v>
      </c>
      <c r="F22" s="193">
        <v>967455.616861653</v>
      </c>
      <c r="G22" s="193">
        <f>G18/G24*1000000</f>
        <v>927967.961748597</v>
      </c>
      <c r="H22" s="193">
        <f>H18/H24*1000000</f>
        <v>864738.0243275731</v>
      </c>
      <c r="I22" s="193">
        <f>I18/I24*1000000</f>
        <v>812231.0432021581</v>
      </c>
    </row>
    <row r="23" spans="1:9" ht="27" customHeight="1">
      <c r="A23" s="431"/>
      <c r="B23" s="52" t="s">
        <v>178</v>
      </c>
      <c r="C23" s="53"/>
      <c r="D23" s="97" t="s">
        <v>179</v>
      </c>
      <c r="E23" s="193">
        <v>959461.0616235086</v>
      </c>
      <c r="F23" s="193">
        <v>923746.3203209828</v>
      </c>
      <c r="G23" s="193">
        <f>G19/G24*1000000</f>
        <v>908158.6634820513</v>
      </c>
      <c r="H23" s="193">
        <f>H19/H24*1000000</f>
        <v>865606.7866014414</v>
      </c>
      <c r="I23" s="193">
        <f>I19/I24*1000000</f>
        <v>813288.5699050791</v>
      </c>
    </row>
    <row r="24" spans="1:9" ht="27" customHeight="1">
      <c r="A24" s="431"/>
      <c r="B24" s="206" t="s">
        <v>180</v>
      </c>
      <c r="C24" s="207"/>
      <c r="D24" s="208" t="s">
        <v>181</v>
      </c>
      <c r="E24" s="198">
        <v>2665314</v>
      </c>
      <c r="F24" s="198">
        <v>2665314</v>
      </c>
      <c r="G24" s="198">
        <f>F24</f>
        <v>2665314</v>
      </c>
      <c r="H24" s="198">
        <v>2691185</v>
      </c>
      <c r="I24" s="199">
        <f>H24</f>
        <v>2691185</v>
      </c>
    </row>
    <row r="25" spans="1:9" ht="27" customHeight="1">
      <c r="A25" s="431"/>
      <c r="B25" s="11" t="s">
        <v>182</v>
      </c>
      <c r="C25" s="209"/>
      <c r="D25" s="210"/>
      <c r="E25" s="191">
        <v>755486</v>
      </c>
      <c r="F25" s="191">
        <v>763991</v>
      </c>
      <c r="G25" s="191">
        <v>759965</v>
      </c>
      <c r="H25" s="191">
        <v>766606</v>
      </c>
      <c r="I25" s="211">
        <v>763699</v>
      </c>
    </row>
    <row r="26" spans="1:9" ht="27" customHeight="1">
      <c r="A26" s="431"/>
      <c r="B26" s="212" t="s">
        <v>183</v>
      </c>
      <c r="C26" s="213"/>
      <c r="D26" s="214"/>
      <c r="E26" s="215">
        <v>0.904</v>
      </c>
      <c r="F26" s="215">
        <v>0.905</v>
      </c>
      <c r="G26" s="215">
        <v>0.915</v>
      </c>
      <c r="H26" s="215">
        <v>0.923</v>
      </c>
      <c r="I26" s="216">
        <v>0.932</v>
      </c>
    </row>
    <row r="27" spans="1:9" ht="27" customHeight="1">
      <c r="A27" s="431"/>
      <c r="B27" s="212" t="s">
        <v>184</v>
      </c>
      <c r="C27" s="213"/>
      <c r="D27" s="214"/>
      <c r="E27" s="217">
        <v>0.1</v>
      </c>
      <c r="F27" s="217">
        <v>3.2</v>
      </c>
      <c r="G27" s="217">
        <v>0.1</v>
      </c>
      <c r="H27" s="217">
        <v>0.1</v>
      </c>
      <c r="I27" s="218">
        <v>0.1</v>
      </c>
    </row>
    <row r="28" spans="1:9" ht="27" customHeight="1">
      <c r="A28" s="431"/>
      <c r="B28" s="212" t="s">
        <v>185</v>
      </c>
      <c r="C28" s="213"/>
      <c r="D28" s="214"/>
      <c r="E28" s="217">
        <v>101.9</v>
      </c>
      <c r="F28" s="217">
        <v>98.3</v>
      </c>
      <c r="G28" s="217">
        <v>98.8</v>
      </c>
      <c r="H28" s="217">
        <v>97.6</v>
      </c>
      <c r="I28" s="218">
        <v>100.1</v>
      </c>
    </row>
    <row r="29" spans="1:9" ht="27" customHeight="1">
      <c r="A29" s="431"/>
      <c r="B29" s="219" t="s">
        <v>186</v>
      </c>
      <c r="C29" s="220"/>
      <c r="D29" s="221"/>
      <c r="E29" s="222">
        <v>62.9</v>
      </c>
      <c r="F29" s="222">
        <v>59.9</v>
      </c>
      <c r="G29" s="222">
        <v>61.3</v>
      </c>
      <c r="H29" s="222">
        <v>59.3</v>
      </c>
      <c r="I29" s="223">
        <v>59.2</v>
      </c>
    </row>
    <row r="30" spans="1:9" ht="27" customHeight="1">
      <c r="A30" s="431"/>
      <c r="B30" s="430" t="s">
        <v>187</v>
      </c>
      <c r="C30" s="20" t="s">
        <v>188</v>
      </c>
      <c r="D30" s="224"/>
      <c r="E30" s="225">
        <v>0</v>
      </c>
      <c r="F30" s="225">
        <v>0</v>
      </c>
      <c r="G30" s="225">
        <v>0</v>
      </c>
      <c r="H30" s="225">
        <v>0</v>
      </c>
      <c r="I30" s="251">
        <v>0</v>
      </c>
    </row>
    <row r="31" spans="1:9" ht="27" customHeight="1">
      <c r="A31" s="431"/>
      <c r="B31" s="431"/>
      <c r="C31" s="212" t="s">
        <v>189</v>
      </c>
      <c r="D31" s="214"/>
      <c r="E31" s="217">
        <v>0</v>
      </c>
      <c r="F31" s="217">
        <v>0</v>
      </c>
      <c r="G31" s="217">
        <v>0</v>
      </c>
      <c r="H31" s="217">
        <v>0</v>
      </c>
      <c r="I31" s="218">
        <v>0</v>
      </c>
    </row>
    <row r="32" spans="1:9" ht="27" customHeight="1">
      <c r="A32" s="431"/>
      <c r="B32" s="431"/>
      <c r="C32" s="212" t="s">
        <v>190</v>
      </c>
      <c r="D32" s="214"/>
      <c r="E32" s="217">
        <v>9.4</v>
      </c>
      <c r="F32" s="217">
        <v>9</v>
      </c>
      <c r="G32" s="217">
        <v>9.3</v>
      </c>
      <c r="H32" s="217">
        <v>9.2</v>
      </c>
      <c r="I32" s="218">
        <v>7.9</v>
      </c>
    </row>
    <row r="33" spans="1:9" ht="27" customHeight="1">
      <c r="A33" s="432"/>
      <c r="B33" s="432"/>
      <c r="C33" s="219" t="s">
        <v>191</v>
      </c>
      <c r="D33" s="221"/>
      <c r="E33" s="222">
        <v>180.8</v>
      </c>
      <c r="F33" s="222">
        <v>152.5</v>
      </c>
      <c r="G33" s="222">
        <v>141.8</v>
      </c>
      <c r="H33" s="222">
        <v>117.1</v>
      </c>
      <c r="I33" s="226">
        <v>95.2</v>
      </c>
    </row>
    <row r="34" spans="1:9" ht="27" customHeight="1">
      <c r="A34" s="1" t="s">
        <v>252</v>
      </c>
      <c r="B34" s="14"/>
      <c r="C34" s="14"/>
      <c r="D34" s="14"/>
      <c r="E34" s="227"/>
      <c r="F34" s="227"/>
      <c r="G34" s="227"/>
      <c r="H34" s="227"/>
      <c r="I34" s="228"/>
    </row>
    <row r="35" ht="27" customHeight="1">
      <c r="A35" s="27" t="s">
        <v>192</v>
      </c>
    </row>
    <row r="36" ht="13.5">
      <c r="A36" s="22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zoomScaleSheetLayoutView="100" zoomScalePageLayoutView="0" workbookViewId="0" topLeftCell="A1">
      <pane xSplit="5" ySplit="7" topLeftCell="F2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40" sqref="F40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3" width="13.59765625" style="1" customWidth="1"/>
    <col min="14" max="14" width="13.59765625" style="14" customWidth="1"/>
    <col min="15" max="18" width="13.59765625" style="1" customWidth="1"/>
    <col min="19" max="19" width="3.3984375" style="1" customWidth="1"/>
    <col min="20" max="20" width="3.5" style="1" customWidth="1"/>
    <col min="21" max="21" width="3.69921875" style="1" customWidth="1"/>
    <col min="22" max="22" width="13.5" style="1" customWidth="1"/>
    <col min="23" max="23" width="8.69921875" style="1" customWidth="1"/>
    <col min="24" max="24" width="15" style="1" customWidth="1"/>
    <col min="25" max="28" width="15.59765625" style="1" customWidth="1"/>
    <col min="29" max="29" width="9.09765625" style="151" customWidth="1"/>
    <col min="30" max="30" width="9.09765625" style="1" customWidth="1"/>
    <col min="31" max="31" width="15.3984375" style="1" customWidth="1"/>
    <col min="32" max="32" width="14.59765625" style="1" customWidth="1"/>
    <col min="33" max="33" width="14.59765625" style="330" customWidth="1"/>
    <col min="34" max="35" width="14.59765625" style="1" customWidth="1"/>
    <col min="36" max="36" width="10.5" style="1" bestFit="1" customWidth="1"/>
    <col min="37" max="37" width="9.3984375" style="1" bestFit="1" customWidth="1"/>
    <col min="38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347</v>
      </c>
      <c r="E1" s="44"/>
      <c r="F1" s="44"/>
      <c r="G1" s="44"/>
    </row>
    <row r="2" ht="15" customHeight="1"/>
    <row r="3" spans="1:4" ht="15" customHeight="1">
      <c r="A3" s="45" t="s">
        <v>284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36" ht="15.75" customHeight="1">
      <c r="A5" s="37" t="s">
        <v>285</v>
      </c>
      <c r="B5" s="37"/>
      <c r="C5" s="37"/>
      <c r="D5" s="37"/>
      <c r="M5" s="46"/>
      <c r="Q5" s="46" t="s">
        <v>44</v>
      </c>
      <c r="AA5" s="186" t="s">
        <v>286</v>
      </c>
      <c r="AB5" s="186"/>
      <c r="AC5" s="331"/>
      <c r="AH5" s="186" t="s">
        <v>286</v>
      </c>
      <c r="AI5" s="186"/>
      <c r="AJ5" s="186"/>
    </row>
    <row r="6" spans="1:35" ht="15.75" customHeight="1">
      <c r="A6" s="451" t="s">
        <v>45</v>
      </c>
      <c r="B6" s="452"/>
      <c r="C6" s="452"/>
      <c r="D6" s="452"/>
      <c r="E6" s="453"/>
      <c r="F6" s="448" t="s">
        <v>287</v>
      </c>
      <c r="G6" s="449"/>
      <c r="H6" s="448" t="s">
        <v>288</v>
      </c>
      <c r="I6" s="449"/>
      <c r="J6" s="448" t="s">
        <v>289</v>
      </c>
      <c r="K6" s="449"/>
      <c r="L6" s="448" t="s">
        <v>290</v>
      </c>
      <c r="M6" s="449"/>
      <c r="N6" s="448" t="s">
        <v>291</v>
      </c>
      <c r="O6" s="449"/>
      <c r="P6" s="448" t="s">
        <v>292</v>
      </c>
      <c r="Q6" s="449"/>
      <c r="S6" s="451" t="s">
        <v>45</v>
      </c>
      <c r="T6" s="452"/>
      <c r="U6" s="452"/>
      <c r="V6" s="452"/>
      <c r="W6" s="453"/>
      <c r="X6" s="494" t="s">
        <v>293</v>
      </c>
      <c r="Y6" s="495"/>
      <c r="Z6" s="495"/>
      <c r="AA6" s="495"/>
      <c r="AB6" s="496" t="s">
        <v>294</v>
      </c>
      <c r="AC6" s="332"/>
      <c r="AD6" s="332"/>
      <c r="AE6" s="332"/>
      <c r="AF6" s="498" t="s">
        <v>295</v>
      </c>
      <c r="AG6" s="499"/>
      <c r="AH6" s="499"/>
      <c r="AI6" s="500" t="s">
        <v>294</v>
      </c>
    </row>
    <row r="7" spans="1:37" ht="15.75" customHeight="1">
      <c r="A7" s="454"/>
      <c r="B7" s="455"/>
      <c r="C7" s="455"/>
      <c r="D7" s="455"/>
      <c r="E7" s="456"/>
      <c r="F7" s="172" t="s">
        <v>296</v>
      </c>
      <c r="G7" s="51" t="s">
        <v>1</v>
      </c>
      <c r="H7" s="172" t="s">
        <v>296</v>
      </c>
      <c r="I7" s="51" t="s">
        <v>1</v>
      </c>
      <c r="J7" s="172" t="s">
        <v>296</v>
      </c>
      <c r="K7" s="51" t="s">
        <v>1</v>
      </c>
      <c r="L7" s="172" t="s">
        <v>296</v>
      </c>
      <c r="M7" s="51" t="s">
        <v>1</v>
      </c>
      <c r="N7" s="172" t="s">
        <v>296</v>
      </c>
      <c r="O7" s="51" t="s">
        <v>1</v>
      </c>
      <c r="P7" s="172" t="s">
        <v>296</v>
      </c>
      <c r="Q7" s="249" t="s">
        <v>1</v>
      </c>
      <c r="S7" s="454"/>
      <c r="T7" s="455"/>
      <c r="U7" s="455"/>
      <c r="V7" s="455"/>
      <c r="W7" s="456"/>
      <c r="X7" s="333" t="s">
        <v>297</v>
      </c>
      <c r="Y7" s="334" t="s">
        <v>298</v>
      </c>
      <c r="Z7" s="335" t="s">
        <v>299</v>
      </c>
      <c r="AA7" s="335" t="s">
        <v>300</v>
      </c>
      <c r="AB7" s="497"/>
      <c r="AC7" s="336" t="s">
        <v>301</v>
      </c>
      <c r="AD7" s="337" t="s">
        <v>302</v>
      </c>
      <c r="AE7" s="337"/>
      <c r="AF7" s="338" t="s">
        <v>303</v>
      </c>
      <c r="AG7" s="339" t="s">
        <v>304</v>
      </c>
      <c r="AH7" s="164" t="s">
        <v>300</v>
      </c>
      <c r="AI7" s="501"/>
      <c r="AJ7" s="336" t="s">
        <v>301</v>
      </c>
      <c r="AK7" s="337" t="s">
        <v>302</v>
      </c>
    </row>
    <row r="8" spans="1:37" ht="15.75" customHeight="1">
      <c r="A8" s="460" t="s">
        <v>84</v>
      </c>
      <c r="B8" s="47" t="s">
        <v>46</v>
      </c>
      <c r="C8" s="48"/>
      <c r="D8" s="48"/>
      <c r="E8" s="95" t="s">
        <v>37</v>
      </c>
      <c r="F8" s="108">
        <v>65954</v>
      </c>
      <c r="G8" s="109">
        <v>66973</v>
      </c>
      <c r="H8" s="108">
        <v>2086</v>
      </c>
      <c r="I8" s="110">
        <v>1714</v>
      </c>
      <c r="J8" s="108">
        <f aca="true" t="shared" si="0" ref="J8:J13">AB8</f>
        <v>183361</v>
      </c>
      <c r="K8" s="110">
        <v>182006</v>
      </c>
      <c r="L8" s="108">
        <v>84371</v>
      </c>
      <c r="M8" s="111">
        <v>82447</v>
      </c>
      <c r="N8" s="108">
        <f aca="true" t="shared" si="1" ref="N8:N13">AI8</f>
        <v>15324</v>
      </c>
      <c r="O8" s="110">
        <v>14363</v>
      </c>
      <c r="P8" s="108">
        <v>7585</v>
      </c>
      <c r="Q8" s="111">
        <v>7748</v>
      </c>
      <c r="R8" s="71"/>
      <c r="S8" s="460" t="s">
        <v>84</v>
      </c>
      <c r="T8" s="47" t="s">
        <v>46</v>
      </c>
      <c r="U8" s="48"/>
      <c r="V8" s="48"/>
      <c r="W8" s="95" t="s">
        <v>37</v>
      </c>
      <c r="X8" s="340">
        <f>X9+X10</f>
        <v>13271086</v>
      </c>
      <c r="Y8" s="340">
        <f>Y9+Y10</f>
        <v>166723225</v>
      </c>
      <c r="Z8" s="341">
        <f>Z9+Z10</f>
        <v>3366622</v>
      </c>
      <c r="AA8" s="341">
        <f aca="true" t="shared" si="2" ref="AA8:AA13">SUM(X8:Z8)</f>
        <v>183360933</v>
      </c>
      <c r="AB8" s="341">
        <f aca="true" t="shared" si="3" ref="AB8:AB13">ROUND(AA8/1000,0)+AC8</f>
        <v>183361</v>
      </c>
      <c r="AC8" s="342"/>
      <c r="AD8" s="343">
        <f>+AB9+AB10</f>
        <v>183361</v>
      </c>
      <c r="AE8" s="343"/>
      <c r="AF8" s="344">
        <f>AF9+AF10</f>
        <v>5082946</v>
      </c>
      <c r="AG8" s="345">
        <f>SUM(AG9:AG10)</f>
        <v>10240994</v>
      </c>
      <c r="AH8" s="346">
        <f aca="true" t="shared" si="4" ref="AH8:AH13">SUM(AF8:AG8)</f>
        <v>15323940</v>
      </c>
      <c r="AI8" s="346">
        <f>ROUND(AH8/1000,0)</f>
        <v>15324</v>
      </c>
      <c r="AJ8" s="342"/>
      <c r="AK8" s="343">
        <f>+AI9+AI10</f>
        <v>15324</v>
      </c>
    </row>
    <row r="9" spans="1:37" ht="15.75" customHeight="1">
      <c r="A9" s="461"/>
      <c r="B9" s="14"/>
      <c r="C9" s="61" t="s">
        <v>47</v>
      </c>
      <c r="D9" s="53"/>
      <c r="E9" s="96" t="s">
        <v>38</v>
      </c>
      <c r="F9" s="112">
        <v>64644</v>
      </c>
      <c r="G9" s="113">
        <v>64672</v>
      </c>
      <c r="H9" s="112">
        <v>1743</v>
      </c>
      <c r="I9" s="114">
        <v>1714</v>
      </c>
      <c r="J9" s="112">
        <f t="shared" si="0"/>
        <v>180866</v>
      </c>
      <c r="K9" s="114">
        <v>179124</v>
      </c>
      <c r="L9" s="112">
        <v>82352</v>
      </c>
      <c r="M9" s="115">
        <v>82389</v>
      </c>
      <c r="N9" s="112">
        <f t="shared" si="1"/>
        <v>14929</v>
      </c>
      <c r="O9" s="114">
        <v>14358</v>
      </c>
      <c r="P9" s="112">
        <v>7585</v>
      </c>
      <c r="Q9" s="115">
        <v>7748</v>
      </c>
      <c r="R9" s="71"/>
      <c r="S9" s="461"/>
      <c r="T9" s="14"/>
      <c r="U9" s="61" t="s">
        <v>47</v>
      </c>
      <c r="V9" s="53"/>
      <c r="W9" s="96" t="s">
        <v>38</v>
      </c>
      <c r="X9" s="347">
        <f>12141228+876323</f>
        <v>13017551</v>
      </c>
      <c r="Y9" s="347">
        <f>155306863+9338174</f>
        <v>164645037</v>
      </c>
      <c r="Z9" s="348">
        <f>3169908+33295</f>
        <v>3203203</v>
      </c>
      <c r="AA9" s="348">
        <f t="shared" si="2"/>
        <v>180865791</v>
      </c>
      <c r="AB9" s="348">
        <f t="shared" si="3"/>
        <v>180866</v>
      </c>
      <c r="AC9" s="342"/>
      <c r="AD9" s="343"/>
      <c r="AE9" s="343"/>
      <c r="AF9" s="349">
        <f>3859531+832372</f>
        <v>4691903</v>
      </c>
      <c r="AG9" s="350">
        <f>9467676+769619</f>
        <v>10237295</v>
      </c>
      <c r="AH9" s="351">
        <f t="shared" si="4"/>
        <v>14929198</v>
      </c>
      <c r="AI9" s="351">
        <f aca="true" t="shared" si="5" ref="AI9:AI23">ROUND(AH9/1000,0)</f>
        <v>14929</v>
      </c>
      <c r="AJ9" s="342"/>
      <c r="AK9" s="343"/>
    </row>
    <row r="10" spans="1:37" ht="15.75" customHeight="1">
      <c r="A10" s="461"/>
      <c r="B10" s="11"/>
      <c r="C10" s="61" t="s">
        <v>48</v>
      </c>
      <c r="D10" s="53"/>
      <c r="E10" s="96" t="s">
        <v>39</v>
      </c>
      <c r="F10" s="112">
        <v>1310</v>
      </c>
      <c r="G10" s="113">
        <v>2301</v>
      </c>
      <c r="H10" s="112">
        <v>343</v>
      </c>
      <c r="I10" s="114">
        <v>0</v>
      </c>
      <c r="J10" s="112">
        <f t="shared" si="0"/>
        <v>2495</v>
      </c>
      <c r="K10" s="114">
        <v>2882</v>
      </c>
      <c r="L10" s="116">
        <v>2019</v>
      </c>
      <c r="M10" s="117">
        <v>58</v>
      </c>
      <c r="N10" s="112">
        <f t="shared" si="1"/>
        <v>395</v>
      </c>
      <c r="O10" s="114">
        <v>5</v>
      </c>
      <c r="P10" s="112">
        <v>0</v>
      </c>
      <c r="Q10" s="115">
        <v>0</v>
      </c>
      <c r="R10" s="71"/>
      <c r="S10" s="461"/>
      <c r="T10" s="11"/>
      <c r="U10" s="61" t="s">
        <v>48</v>
      </c>
      <c r="V10" s="53"/>
      <c r="W10" s="96" t="s">
        <v>39</v>
      </c>
      <c r="X10" s="347">
        <v>253535</v>
      </c>
      <c r="Y10" s="347">
        <v>2078188</v>
      </c>
      <c r="Z10" s="348">
        <v>163419</v>
      </c>
      <c r="AA10" s="348">
        <f t="shared" si="2"/>
        <v>2495142</v>
      </c>
      <c r="AB10" s="348">
        <f t="shared" si="3"/>
        <v>2495</v>
      </c>
      <c r="AC10" s="342"/>
      <c r="AD10" s="343"/>
      <c r="AE10" s="343"/>
      <c r="AF10" s="349">
        <v>391043</v>
      </c>
      <c r="AG10" s="350">
        <v>3699</v>
      </c>
      <c r="AH10" s="351">
        <f t="shared" si="4"/>
        <v>394742</v>
      </c>
      <c r="AI10" s="351">
        <f t="shared" si="5"/>
        <v>395</v>
      </c>
      <c r="AJ10" s="342"/>
      <c r="AK10" s="343"/>
    </row>
    <row r="11" spans="1:37" ht="15.75" customHeight="1">
      <c r="A11" s="461"/>
      <c r="B11" s="66" t="s">
        <v>49</v>
      </c>
      <c r="C11" s="67"/>
      <c r="D11" s="67"/>
      <c r="E11" s="98" t="s">
        <v>40</v>
      </c>
      <c r="F11" s="118">
        <v>50753</v>
      </c>
      <c r="G11" s="119">
        <v>52472</v>
      </c>
      <c r="H11" s="118">
        <v>1594</v>
      </c>
      <c r="I11" s="120">
        <v>1259</v>
      </c>
      <c r="J11" s="118">
        <f t="shared" si="0"/>
        <v>142870</v>
      </c>
      <c r="K11" s="120">
        <v>143356</v>
      </c>
      <c r="L11" s="118">
        <v>81628</v>
      </c>
      <c r="M11" s="121">
        <v>79346</v>
      </c>
      <c r="N11" s="118">
        <f t="shared" si="1"/>
        <v>13163</v>
      </c>
      <c r="O11" s="120">
        <v>11899</v>
      </c>
      <c r="P11" s="118">
        <v>7783</v>
      </c>
      <c r="Q11" s="121">
        <v>8238</v>
      </c>
      <c r="R11" s="71"/>
      <c r="S11" s="461"/>
      <c r="T11" s="66" t="s">
        <v>49</v>
      </c>
      <c r="U11" s="67"/>
      <c r="V11" s="67"/>
      <c r="W11" s="98" t="s">
        <v>40</v>
      </c>
      <c r="X11" s="347">
        <f>X12+X13</f>
        <v>12684082</v>
      </c>
      <c r="Y11" s="347">
        <f>Y13+Y12</f>
        <v>125534192</v>
      </c>
      <c r="Z11" s="348">
        <f>Z12+Z13</f>
        <v>4651347</v>
      </c>
      <c r="AA11" s="348">
        <f t="shared" si="2"/>
        <v>142869621</v>
      </c>
      <c r="AB11" s="348">
        <f t="shared" si="3"/>
        <v>142870</v>
      </c>
      <c r="AC11" s="342"/>
      <c r="AD11" s="343">
        <f>+AB12+AB13</f>
        <v>142870</v>
      </c>
      <c r="AE11" s="343"/>
      <c r="AF11" s="349">
        <f>AF12+AF13</f>
        <v>5145090</v>
      </c>
      <c r="AG11" s="350">
        <f>AG12+AG13</f>
        <v>8018395</v>
      </c>
      <c r="AH11" s="351">
        <f t="shared" si="4"/>
        <v>13163485</v>
      </c>
      <c r="AI11" s="351">
        <f t="shared" si="5"/>
        <v>13163</v>
      </c>
      <c r="AJ11" s="342"/>
      <c r="AK11" s="343">
        <f>+AI12+AI13</f>
        <v>13164</v>
      </c>
    </row>
    <row r="12" spans="1:37" ht="15.75" customHeight="1">
      <c r="A12" s="461"/>
      <c r="B12" s="8"/>
      <c r="C12" s="61" t="s">
        <v>50</v>
      </c>
      <c r="D12" s="53"/>
      <c r="E12" s="96" t="s">
        <v>41</v>
      </c>
      <c r="F12" s="112">
        <v>50389</v>
      </c>
      <c r="G12" s="113">
        <v>52472</v>
      </c>
      <c r="H12" s="118">
        <v>1386</v>
      </c>
      <c r="I12" s="114">
        <v>1259</v>
      </c>
      <c r="J12" s="118">
        <f t="shared" si="0"/>
        <v>142539</v>
      </c>
      <c r="K12" s="114">
        <v>140508</v>
      </c>
      <c r="L12" s="118">
        <v>78740</v>
      </c>
      <c r="M12" s="115">
        <v>79346</v>
      </c>
      <c r="N12" s="112">
        <f t="shared" si="1"/>
        <v>12256</v>
      </c>
      <c r="O12" s="114">
        <v>11287</v>
      </c>
      <c r="P12" s="112">
        <v>7522</v>
      </c>
      <c r="Q12" s="115">
        <v>8157</v>
      </c>
      <c r="R12" s="71"/>
      <c r="S12" s="461"/>
      <c r="T12" s="8"/>
      <c r="U12" s="61" t="s">
        <v>50</v>
      </c>
      <c r="V12" s="53"/>
      <c r="W12" s="96" t="s">
        <v>41</v>
      </c>
      <c r="X12" s="347">
        <f>12109072+244228</f>
        <v>12353300</v>
      </c>
      <c r="Y12" s="347">
        <f>113485475+12048717</f>
        <v>125534192</v>
      </c>
      <c r="Z12" s="348">
        <f>4261604+389743</f>
        <v>4651347</v>
      </c>
      <c r="AA12" s="348">
        <f t="shared" si="2"/>
        <v>142538839</v>
      </c>
      <c r="AB12" s="348">
        <f t="shared" si="3"/>
        <v>142539</v>
      </c>
      <c r="AC12" s="342"/>
      <c r="AD12" s="332"/>
      <c r="AE12" s="332"/>
      <c r="AF12" s="349">
        <f>4245695+139877</f>
        <v>4385572</v>
      </c>
      <c r="AG12" s="350">
        <f>4385264+3484761</f>
        <v>7870025</v>
      </c>
      <c r="AH12" s="351">
        <f t="shared" si="4"/>
        <v>12255597</v>
      </c>
      <c r="AI12" s="351">
        <f t="shared" si="5"/>
        <v>12256</v>
      </c>
      <c r="AJ12" s="342"/>
      <c r="AK12" s="332"/>
    </row>
    <row r="13" spans="1:37" ht="15.75" customHeight="1">
      <c r="A13" s="461"/>
      <c r="B13" s="14"/>
      <c r="C13" s="50" t="s">
        <v>51</v>
      </c>
      <c r="D13" s="68"/>
      <c r="E13" s="99" t="s">
        <v>42</v>
      </c>
      <c r="F13" s="122">
        <v>364</v>
      </c>
      <c r="G13" s="123">
        <v>0</v>
      </c>
      <c r="H13" s="116">
        <v>208</v>
      </c>
      <c r="I13" s="117">
        <v>0</v>
      </c>
      <c r="J13" s="116">
        <f t="shared" si="0"/>
        <v>331</v>
      </c>
      <c r="K13" s="117">
        <v>2848</v>
      </c>
      <c r="L13" s="116">
        <v>2888</v>
      </c>
      <c r="M13" s="117">
        <v>0</v>
      </c>
      <c r="N13" s="122">
        <f t="shared" si="1"/>
        <v>908</v>
      </c>
      <c r="O13" s="124">
        <v>611</v>
      </c>
      <c r="P13" s="122">
        <v>260</v>
      </c>
      <c r="Q13" s="125">
        <v>81</v>
      </c>
      <c r="R13" s="71"/>
      <c r="S13" s="461"/>
      <c r="T13" s="14"/>
      <c r="U13" s="50" t="s">
        <v>51</v>
      </c>
      <c r="V13" s="68"/>
      <c r="W13" s="99" t="s">
        <v>42</v>
      </c>
      <c r="X13" s="347">
        <v>330782</v>
      </c>
      <c r="Y13" s="347">
        <v>0</v>
      </c>
      <c r="Z13" s="348">
        <v>0</v>
      </c>
      <c r="AA13" s="348">
        <f t="shared" si="2"/>
        <v>330782</v>
      </c>
      <c r="AB13" s="348">
        <f t="shared" si="3"/>
        <v>331</v>
      </c>
      <c r="AC13" s="342"/>
      <c r="AD13" s="332"/>
      <c r="AE13" s="332"/>
      <c r="AF13" s="349">
        <v>759518</v>
      </c>
      <c r="AG13" s="350">
        <v>148370</v>
      </c>
      <c r="AH13" s="351">
        <f t="shared" si="4"/>
        <v>907888</v>
      </c>
      <c r="AI13" s="351">
        <f t="shared" si="5"/>
        <v>908</v>
      </c>
      <c r="AJ13" s="342"/>
      <c r="AK13" s="332"/>
    </row>
    <row r="14" spans="1:37" ht="15.75" customHeight="1">
      <c r="A14" s="461"/>
      <c r="B14" s="52" t="s">
        <v>52</v>
      </c>
      <c r="C14" s="53"/>
      <c r="D14" s="53"/>
      <c r="E14" s="96" t="s">
        <v>305</v>
      </c>
      <c r="F14" s="155">
        <f>F9-F12</f>
        <v>14255</v>
      </c>
      <c r="G14" s="145">
        <f aca="true" t="shared" si="6" ref="F14:Q15">G9-G12</f>
        <v>12200</v>
      </c>
      <c r="H14" s="155">
        <f>H9-H12</f>
        <v>357</v>
      </c>
      <c r="I14" s="145">
        <f>I9-I12</f>
        <v>455</v>
      </c>
      <c r="J14" s="155">
        <f t="shared" si="6"/>
        <v>38327</v>
      </c>
      <c r="K14" s="145">
        <f t="shared" si="6"/>
        <v>38616</v>
      </c>
      <c r="L14" s="155">
        <f t="shared" si="6"/>
        <v>3612</v>
      </c>
      <c r="M14" s="145">
        <f t="shared" si="6"/>
        <v>3043</v>
      </c>
      <c r="N14" s="155">
        <f t="shared" si="6"/>
        <v>2673</v>
      </c>
      <c r="O14" s="145">
        <f t="shared" si="6"/>
        <v>3071</v>
      </c>
      <c r="P14" s="155">
        <f t="shared" si="6"/>
        <v>63</v>
      </c>
      <c r="Q14" s="145">
        <f t="shared" si="6"/>
        <v>-409</v>
      </c>
      <c r="R14" s="71"/>
      <c r="S14" s="461"/>
      <c r="T14" s="52" t="s">
        <v>52</v>
      </c>
      <c r="U14" s="53"/>
      <c r="V14" s="53"/>
      <c r="W14" s="96" t="s">
        <v>305</v>
      </c>
      <c r="X14" s="352">
        <f aca="true" t="shared" si="7" ref="X14:AB15">X9-X12</f>
        <v>664251</v>
      </c>
      <c r="Y14" s="352">
        <f t="shared" si="7"/>
        <v>39110845</v>
      </c>
      <c r="Z14" s="352">
        <f t="shared" si="7"/>
        <v>-1448144</v>
      </c>
      <c r="AA14" s="352">
        <f t="shared" si="7"/>
        <v>38326952</v>
      </c>
      <c r="AB14" s="352">
        <f t="shared" si="7"/>
        <v>38327</v>
      </c>
      <c r="AC14" s="77"/>
      <c r="AD14" s="332"/>
      <c r="AE14" s="332"/>
      <c r="AF14" s="353">
        <f aca="true" t="shared" si="8" ref="AF14:AI15">AF9-AF12</f>
        <v>306331</v>
      </c>
      <c r="AG14" s="354">
        <f t="shared" si="8"/>
        <v>2367270</v>
      </c>
      <c r="AH14" s="353">
        <f t="shared" si="8"/>
        <v>2673601</v>
      </c>
      <c r="AI14" s="353">
        <f t="shared" si="8"/>
        <v>2673</v>
      </c>
      <c r="AJ14" s="77"/>
      <c r="AK14" s="332"/>
    </row>
    <row r="15" spans="1:37" ht="15.75" customHeight="1">
      <c r="A15" s="461"/>
      <c r="B15" s="52" t="s">
        <v>53</v>
      </c>
      <c r="C15" s="53"/>
      <c r="D15" s="53"/>
      <c r="E15" s="96" t="s">
        <v>306</v>
      </c>
      <c r="F15" s="155">
        <f t="shared" si="6"/>
        <v>946</v>
      </c>
      <c r="G15" s="145">
        <f t="shared" si="6"/>
        <v>2301</v>
      </c>
      <c r="H15" s="155">
        <f>H10-H13</f>
        <v>135</v>
      </c>
      <c r="I15" s="145">
        <f>I10-I13</f>
        <v>0</v>
      </c>
      <c r="J15" s="155">
        <f t="shared" si="6"/>
        <v>2164</v>
      </c>
      <c r="K15" s="145">
        <f t="shared" si="6"/>
        <v>34</v>
      </c>
      <c r="L15" s="155">
        <f t="shared" si="6"/>
        <v>-869</v>
      </c>
      <c r="M15" s="145">
        <f t="shared" si="6"/>
        <v>58</v>
      </c>
      <c r="N15" s="155">
        <f t="shared" si="6"/>
        <v>-513</v>
      </c>
      <c r="O15" s="145">
        <f t="shared" si="6"/>
        <v>-606</v>
      </c>
      <c r="P15" s="155">
        <f t="shared" si="6"/>
        <v>-260</v>
      </c>
      <c r="Q15" s="145">
        <f t="shared" si="6"/>
        <v>-81</v>
      </c>
      <c r="R15" s="71"/>
      <c r="S15" s="461"/>
      <c r="T15" s="52" t="s">
        <v>53</v>
      </c>
      <c r="U15" s="53"/>
      <c r="V15" s="53"/>
      <c r="W15" s="96" t="s">
        <v>89</v>
      </c>
      <c r="X15" s="352">
        <f t="shared" si="7"/>
        <v>-77247</v>
      </c>
      <c r="Y15" s="352">
        <f t="shared" si="7"/>
        <v>2078188</v>
      </c>
      <c r="Z15" s="352">
        <f t="shared" si="7"/>
        <v>163419</v>
      </c>
      <c r="AA15" s="352">
        <f t="shared" si="7"/>
        <v>2164360</v>
      </c>
      <c r="AB15" s="352">
        <f t="shared" si="7"/>
        <v>2164</v>
      </c>
      <c r="AC15" s="77"/>
      <c r="AD15" s="332"/>
      <c r="AE15" s="332"/>
      <c r="AF15" s="353">
        <f>AF10-AF13</f>
        <v>-368475</v>
      </c>
      <c r="AG15" s="354">
        <f t="shared" si="8"/>
        <v>-144671</v>
      </c>
      <c r="AH15" s="353">
        <f t="shared" si="8"/>
        <v>-513146</v>
      </c>
      <c r="AI15" s="353">
        <f t="shared" si="8"/>
        <v>-513</v>
      </c>
      <c r="AJ15" s="77"/>
      <c r="AK15" s="332"/>
    </row>
    <row r="16" spans="1:37" ht="15.75" customHeight="1">
      <c r="A16" s="461"/>
      <c r="B16" s="52" t="s">
        <v>54</v>
      </c>
      <c r="C16" s="53"/>
      <c r="D16" s="53"/>
      <c r="E16" s="96" t="s">
        <v>90</v>
      </c>
      <c r="F16" s="155">
        <f aca="true" t="shared" si="9" ref="F16:Q16">F8-F11</f>
        <v>15201</v>
      </c>
      <c r="G16" s="145">
        <f t="shared" si="9"/>
        <v>14501</v>
      </c>
      <c r="H16" s="155">
        <f>H8-H11</f>
        <v>492</v>
      </c>
      <c r="I16" s="145">
        <f>I8-I11</f>
        <v>455</v>
      </c>
      <c r="J16" s="155">
        <f t="shared" si="9"/>
        <v>40491</v>
      </c>
      <c r="K16" s="145">
        <f t="shared" si="9"/>
        <v>38650</v>
      </c>
      <c r="L16" s="155">
        <f t="shared" si="9"/>
        <v>2743</v>
      </c>
      <c r="M16" s="145">
        <f t="shared" si="9"/>
        <v>3101</v>
      </c>
      <c r="N16" s="155">
        <f t="shared" si="9"/>
        <v>2161</v>
      </c>
      <c r="O16" s="145">
        <f t="shared" si="9"/>
        <v>2464</v>
      </c>
      <c r="P16" s="155">
        <f t="shared" si="9"/>
        <v>-198</v>
      </c>
      <c r="Q16" s="145">
        <f t="shared" si="9"/>
        <v>-490</v>
      </c>
      <c r="R16" s="71"/>
      <c r="S16" s="461"/>
      <c r="T16" s="52" t="s">
        <v>54</v>
      </c>
      <c r="U16" s="53"/>
      <c r="V16" s="53"/>
      <c r="W16" s="96" t="s">
        <v>90</v>
      </c>
      <c r="X16" s="352">
        <f>X8-X11</f>
        <v>587004</v>
      </c>
      <c r="Y16" s="352">
        <f>Y8-Y11</f>
        <v>41189033</v>
      </c>
      <c r="Z16" s="352">
        <f>Z8-Z11</f>
        <v>-1284725</v>
      </c>
      <c r="AA16" s="352">
        <f>AA8-AA11</f>
        <v>40491312</v>
      </c>
      <c r="AB16" s="352">
        <f>AB8-AB11</f>
        <v>40491</v>
      </c>
      <c r="AC16" s="77"/>
      <c r="AD16" s="332"/>
      <c r="AE16" s="332"/>
      <c r="AF16" s="353">
        <f>AF8-AF11</f>
        <v>-62144</v>
      </c>
      <c r="AG16" s="354">
        <f>AG8-AG11</f>
        <v>2222599</v>
      </c>
      <c r="AH16" s="353">
        <f>AH8-AH11</f>
        <v>2160455</v>
      </c>
      <c r="AI16" s="353">
        <f>AI8-AI11</f>
        <v>2161</v>
      </c>
      <c r="AJ16" s="77"/>
      <c r="AK16" s="332"/>
    </row>
    <row r="17" spans="1:37" ht="15.75" customHeight="1">
      <c r="A17" s="461"/>
      <c r="B17" s="52" t="s">
        <v>55</v>
      </c>
      <c r="C17" s="53"/>
      <c r="D17" s="53"/>
      <c r="E17" s="43"/>
      <c r="F17" s="231">
        <v>0</v>
      </c>
      <c r="G17" s="232">
        <v>0</v>
      </c>
      <c r="H17" s="116">
        <v>0</v>
      </c>
      <c r="I17" s="117">
        <v>0</v>
      </c>
      <c r="J17" s="116">
        <f aca="true" t="shared" si="10" ref="J17:J23">AB17</f>
        <v>0</v>
      </c>
      <c r="K17" s="117">
        <v>0</v>
      </c>
      <c r="L17" s="112">
        <v>0</v>
      </c>
      <c r="M17" s="115">
        <v>0</v>
      </c>
      <c r="N17" s="112">
        <f aca="true" t="shared" si="11" ref="N17:N23">AI17</f>
        <v>158942</v>
      </c>
      <c r="O17" s="114">
        <v>161102</v>
      </c>
      <c r="P17" s="116">
        <v>35344</v>
      </c>
      <c r="Q17" s="126">
        <v>35146</v>
      </c>
      <c r="R17" s="71"/>
      <c r="S17" s="461"/>
      <c r="T17" s="52" t="s">
        <v>55</v>
      </c>
      <c r="U17" s="53"/>
      <c r="V17" s="53"/>
      <c r="W17" s="43"/>
      <c r="X17" s="355">
        <v>78844234</v>
      </c>
      <c r="Y17" s="355">
        <v>-211843718</v>
      </c>
      <c r="Z17" s="348">
        <v>53283968</v>
      </c>
      <c r="AA17" s="348">
        <f aca="true" t="shared" si="12" ref="AA17:AA23">SUM(X17:Z17)</f>
        <v>-79715516</v>
      </c>
      <c r="AB17" s="348">
        <f>IF(ROUND(AA17/1000,0)&gt;0,ROUND(AA17/1000,0),0)</f>
        <v>0</v>
      </c>
      <c r="AC17" s="343" t="s">
        <v>307</v>
      </c>
      <c r="AD17" s="332"/>
      <c r="AE17" s="332"/>
      <c r="AF17" s="356">
        <v>-4378483</v>
      </c>
      <c r="AG17" s="350">
        <v>163320242</v>
      </c>
      <c r="AH17" s="351">
        <f aca="true" t="shared" si="13" ref="AH17:AH22">SUM(AF17:AG17)</f>
        <v>158941759</v>
      </c>
      <c r="AI17" s="351">
        <f t="shared" si="5"/>
        <v>158942</v>
      </c>
      <c r="AJ17" s="342"/>
      <c r="AK17" s="332"/>
    </row>
    <row r="18" spans="1:37" ht="15.75" customHeight="1">
      <c r="A18" s="462"/>
      <c r="B18" s="59" t="s">
        <v>56</v>
      </c>
      <c r="C18" s="37"/>
      <c r="D18" s="37"/>
      <c r="E18" s="15"/>
      <c r="F18" s="156">
        <v>0</v>
      </c>
      <c r="G18" s="160">
        <v>0</v>
      </c>
      <c r="H18" s="127">
        <v>0</v>
      </c>
      <c r="I18" s="128">
        <v>0</v>
      </c>
      <c r="J18" s="127">
        <f t="shared" si="10"/>
        <v>0</v>
      </c>
      <c r="K18" s="128">
        <v>0</v>
      </c>
      <c r="L18" s="127">
        <v>0</v>
      </c>
      <c r="M18" s="128">
        <v>0</v>
      </c>
      <c r="N18" s="127">
        <f t="shared" si="11"/>
        <v>0</v>
      </c>
      <c r="O18" s="128">
        <v>0</v>
      </c>
      <c r="P18" s="127">
        <v>0</v>
      </c>
      <c r="Q18" s="129">
        <v>0</v>
      </c>
      <c r="R18" s="71"/>
      <c r="S18" s="462"/>
      <c r="T18" s="59" t="s">
        <v>56</v>
      </c>
      <c r="U18" s="37"/>
      <c r="V18" s="37"/>
      <c r="W18" s="15"/>
      <c r="X18" s="357"/>
      <c r="Y18" s="357"/>
      <c r="Z18" s="358"/>
      <c r="AA18" s="358">
        <f>SUM(X18:Z18)</f>
        <v>0</v>
      </c>
      <c r="AB18" s="358">
        <f aca="true" t="shared" si="14" ref="AB18:AB23">ROUND(AA18/1000,0)</f>
        <v>0</v>
      </c>
      <c r="AC18" s="343" t="s">
        <v>308</v>
      </c>
      <c r="AD18" s="332"/>
      <c r="AE18" s="332"/>
      <c r="AF18" s="359">
        <v>0</v>
      </c>
      <c r="AG18" s="360">
        <v>0</v>
      </c>
      <c r="AH18" s="361">
        <f t="shared" si="13"/>
        <v>0</v>
      </c>
      <c r="AI18" s="361">
        <f t="shared" si="5"/>
        <v>0</v>
      </c>
      <c r="AJ18" s="342"/>
      <c r="AK18" s="332"/>
    </row>
    <row r="19" spans="1:37" ht="15.75" customHeight="1">
      <c r="A19" s="461" t="s">
        <v>85</v>
      </c>
      <c r="B19" s="66" t="s">
        <v>57</v>
      </c>
      <c r="C19" s="69"/>
      <c r="D19" s="69"/>
      <c r="E19" s="100"/>
      <c r="F19" s="157">
        <v>1953</v>
      </c>
      <c r="G19" s="150">
        <v>11620</v>
      </c>
      <c r="H19" s="130">
        <v>33</v>
      </c>
      <c r="I19" s="132">
        <v>26</v>
      </c>
      <c r="J19" s="130">
        <f t="shared" si="10"/>
        <v>31931</v>
      </c>
      <c r="K19" s="132">
        <v>18891</v>
      </c>
      <c r="L19" s="130">
        <v>49107</v>
      </c>
      <c r="M19" s="133">
        <v>51175</v>
      </c>
      <c r="N19" s="130">
        <f t="shared" si="11"/>
        <v>12013</v>
      </c>
      <c r="O19" s="132">
        <v>10630</v>
      </c>
      <c r="P19" s="130">
        <v>6010</v>
      </c>
      <c r="Q19" s="133">
        <v>6821</v>
      </c>
      <c r="R19" s="71"/>
      <c r="S19" s="461" t="s">
        <v>85</v>
      </c>
      <c r="T19" s="66" t="s">
        <v>57</v>
      </c>
      <c r="U19" s="69"/>
      <c r="V19" s="69"/>
      <c r="W19" s="100"/>
      <c r="X19" s="340">
        <v>82659</v>
      </c>
      <c r="Y19" s="340">
        <v>27177749</v>
      </c>
      <c r="Z19" s="341">
        <v>4671000</v>
      </c>
      <c r="AA19" s="341">
        <f>SUM(X19:Z19)</f>
        <v>31931408</v>
      </c>
      <c r="AB19" s="341">
        <f>ROUND(AA19/1000,0)+AC19</f>
        <v>31931</v>
      </c>
      <c r="AC19" s="342"/>
      <c r="AD19" s="332"/>
      <c r="AE19" s="332"/>
      <c r="AF19" s="344">
        <v>120306</v>
      </c>
      <c r="AG19" s="345">
        <v>11892325</v>
      </c>
      <c r="AH19" s="346">
        <f t="shared" si="13"/>
        <v>12012631</v>
      </c>
      <c r="AI19" s="346">
        <f t="shared" si="5"/>
        <v>12013</v>
      </c>
      <c r="AJ19" s="342"/>
      <c r="AK19" s="332"/>
    </row>
    <row r="20" spans="1:37" ht="15.75" customHeight="1">
      <c r="A20" s="461"/>
      <c r="B20" s="13"/>
      <c r="C20" s="61" t="s">
        <v>58</v>
      </c>
      <c r="D20" s="53"/>
      <c r="E20" s="96"/>
      <c r="F20" s="155">
        <v>0</v>
      </c>
      <c r="G20" s="145">
        <v>1000</v>
      </c>
      <c r="H20" s="112">
        <v>0</v>
      </c>
      <c r="I20" s="114">
        <v>0</v>
      </c>
      <c r="J20" s="112">
        <f t="shared" si="10"/>
        <v>24513</v>
      </c>
      <c r="K20" s="114">
        <v>12000</v>
      </c>
      <c r="L20" s="112">
        <v>29190</v>
      </c>
      <c r="M20" s="117">
        <v>30291</v>
      </c>
      <c r="N20" s="112">
        <f t="shared" si="11"/>
        <v>264</v>
      </c>
      <c r="O20" s="114">
        <v>978</v>
      </c>
      <c r="P20" s="112">
        <v>3730</v>
      </c>
      <c r="Q20" s="115">
        <v>4189</v>
      </c>
      <c r="R20" s="71"/>
      <c r="S20" s="461"/>
      <c r="T20" s="13"/>
      <c r="U20" s="61" t="s">
        <v>58</v>
      </c>
      <c r="V20" s="53"/>
      <c r="W20" s="96"/>
      <c r="X20" s="347">
        <v>0</v>
      </c>
      <c r="Y20" s="347">
        <v>19842200</v>
      </c>
      <c r="Z20" s="348">
        <v>4671000</v>
      </c>
      <c r="AA20" s="348">
        <f t="shared" si="12"/>
        <v>24513200</v>
      </c>
      <c r="AB20" s="348">
        <f t="shared" si="14"/>
        <v>24513</v>
      </c>
      <c r="AC20" s="342"/>
      <c r="AD20" s="332"/>
      <c r="AE20" s="332"/>
      <c r="AF20" s="349">
        <v>23000</v>
      </c>
      <c r="AG20" s="350">
        <v>241000</v>
      </c>
      <c r="AH20" s="351">
        <f t="shared" si="13"/>
        <v>264000</v>
      </c>
      <c r="AI20" s="351">
        <f t="shared" si="5"/>
        <v>264</v>
      </c>
      <c r="AJ20" s="342"/>
      <c r="AK20" s="332"/>
    </row>
    <row r="21" spans="1:37" ht="15.75" customHeight="1">
      <c r="A21" s="461"/>
      <c r="B21" s="26" t="s">
        <v>59</v>
      </c>
      <c r="C21" s="67"/>
      <c r="D21" s="67"/>
      <c r="E21" s="98" t="s">
        <v>309</v>
      </c>
      <c r="F21" s="158">
        <v>1953</v>
      </c>
      <c r="G21" s="144">
        <v>11620</v>
      </c>
      <c r="H21" s="118">
        <v>33</v>
      </c>
      <c r="I21" s="120">
        <v>26</v>
      </c>
      <c r="J21" s="118">
        <f t="shared" si="10"/>
        <v>31931</v>
      </c>
      <c r="K21" s="120">
        <v>18891</v>
      </c>
      <c r="L21" s="118">
        <v>49107</v>
      </c>
      <c r="M21" s="121">
        <v>51175</v>
      </c>
      <c r="N21" s="118">
        <f t="shared" si="11"/>
        <v>12013</v>
      </c>
      <c r="O21" s="120">
        <v>10630</v>
      </c>
      <c r="P21" s="118">
        <v>6010</v>
      </c>
      <c r="Q21" s="121">
        <v>6821</v>
      </c>
      <c r="R21" s="71"/>
      <c r="S21" s="461"/>
      <c r="T21" s="26" t="s">
        <v>59</v>
      </c>
      <c r="U21" s="67"/>
      <c r="V21" s="67"/>
      <c r="W21" s="98" t="s">
        <v>309</v>
      </c>
      <c r="X21" s="347">
        <v>82659</v>
      </c>
      <c r="Y21" s="347">
        <v>27177749</v>
      </c>
      <c r="Z21" s="348">
        <v>4671000</v>
      </c>
      <c r="AA21" s="348">
        <f t="shared" si="12"/>
        <v>31931408</v>
      </c>
      <c r="AB21" s="348">
        <f>ROUND(AA21/1000,0)+AC21</f>
        <v>31931</v>
      </c>
      <c r="AC21" s="342"/>
      <c r="AD21" s="332"/>
      <c r="AE21" s="332"/>
      <c r="AF21" s="349">
        <f>SUM(AF19)</f>
        <v>120306</v>
      </c>
      <c r="AG21" s="350">
        <f>SUM(AG19)</f>
        <v>11892325</v>
      </c>
      <c r="AH21" s="351">
        <f t="shared" si="13"/>
        <v>12012631</v>
      </c>
      <c r="AI21" s="351">
        <f t="shared" si="5"/>
        <v>12013</v>
      </c>
      <c r="AJ21" s="342"/>
      <c r="AK21" s="332"/>
    </row>
    <row r="22" spans="1:37" ht="15.75" customHeight="1">
      <c r="A22" s="461"/>
      <c r="B22" s="66" t="s">
        <v>60</v>
      </c>
      <c r="C22" s="69"/>
      <c r="D22" s="69"/>
      <c r="E22" s="100" t="s">
        <v>310</v>
      </c>
      <c r="F22" s="157">
        <v>35207</v>
      </c>
      <c r="G22" s="150">
        <v>34885</v>
      </c>
      <c r="H22" s="130">
        <v>571</v>
      </c>
      <c r="I22" s="132">
        <v>275</v>
      </c>
      <c r="J22" s="130">
        <f t="shared" si="10"/>
        <v>83139</v>
      </c>
      <c r="K22" s="132">
        <v>76167</v>
      </c>
      <c r="L22" s="130">
        <v>78944</v>
      </c>
      <c r="M22" s="133">
        <v>82375</v>
      </c>
      <c r="N22" s="130">
        <f t="shared" si="11"/>
        <v>20963</v>
      </c>
      <c r="O22" s="132">
        <v>15667</v>
      </c>
      <c r="P22" s="130">
        <v>6137</v>
      </c>
      <c r="Q22" s="133">
        <v>6609</v>
      </c>
      <c r="R22" s="71"/>
      <c r="S22" s="461"/>
      <c r="T22" s="66" t="s">
        <v>60</v>
      </c>
      <c r="U22" s="69"/>
      <c r="V22" s="69"/>
      <c r="W22" s="100" t="s">
        <v>310</v>
      </c>
      <c r="X22" s="347">
        <v>3482923</v>
      </c>
      <c r="Y22" s="347">
        <v>73236483</v>
      </c>
      <c r="Z22" s="348">
        <v>6419229</v>
      </c>
      <c r="AA22" s="348">
        <f t="shared" si="12"/>
        <v>83138635</v>
      </c>
      <c r="AB22" s="348">
        <f>ROUND(AA22/1000,0)+AC22</f>
        <v>83139</v>
      </c>
      <c r="AC22" s="342"/>
      <c r="AD22" s="332"/>
      <c r="AE22" s="332"/>
      <c r="AF22" s="349">
        <v>1665044</v>
      </c>
      <c r="AG22" s="350">
        <v>19298412</v>
      </c>
      <c r="AH22" s="351">
        <f t="shared" si="13"/>
        <v>20963456</v>
      </c>
      <c r="AI22" s="351">
        <f t="shared" si="5"/>
        <v>20963</v>
      </c>
      <c r="AJ22" s="342"/>
      <c r="AK22" s="332"/>
    </row>
    <row r="23" spans="1:37" ht="15.75" customHeight="1">
      <c r="A23" s="461"/>
      <c r="B23" s="8" t="s">
        <v>61</v>
      </c>
      <c r="C23" s="50" t="s">
        <v>62</v>
      </c>
      <c r="D23" s="68"/>
      <c r="E23" s="99"/>
      <c r="F23" s="154">
        <v>13631</v>
      </c>
      <c r="G23" s="134">
        <v>16464</v>
      </c>
      <c r="H23" s="122">
        <v>167</v>
      </c>
      <c r="I23" s="124">
        <v>195</v>
      </c>
      <c r="J23" s="122">
        <f t="shared" si="10"/>
        <v>43943</v>
      </c>
      <c r="K23" s="124">
        <v>38975</v>
      </c>
      <c r="L23" s="122">
        <v>38651</v>
      </c>
      <c r="M23" s="125">
        <v>43455</v>
      </c>
      <c r="N23" s="122">
        <f t="shared" si="11"/>
        <v>18634</v>
      </c>
      <c r="O23" s="124">
        <v>13322</v>
      </c>
      <c r="P23" s="122">
        <v>5996</v>
      </c>
      <c r="Q23" s="125">
        <v>6591</v>
      </c>
      <c r="R23" s="71"/>
      <c r="S23" s="461"/>
      <c r="T23" s="8" t="s">
        <v>61</v>
      </c>
      <c r="U23" s="50" t="s">
        <v>62</v>
      </c>
      <c r="V23" s="68"/>
      <c r="W23" s="99"/>
      <c r="X23" s="347">
        <v>2211597</v>
      </c>
      <c r="Y23" s="347">
        <v>40865123</v>
      </c>
      <c r="Z23" s="348">
        <v>866024</v>
      </c>
      <c r="AA23" s="348">
        <f t="shared" si="12"/>
        <v>43942744</v>
      </c>
      <c r="AB23" s="348">
        <f t="shared" si="14"/>
        <v>43943</v>
      </c>
      <c r="AC23" s="342"/>
      <c r="AD23" s="332"/>
      <c r="AE23" s="332"/>
      <c r="AF23" s="349">
        <v>870257</v>
      </c>
      <c r="AG23" s="350">
        <v>17763920</v>
      </c>
      <c r="AH23" s="351">
        <f>SUM(AF23:AG23)</f>
        <v>18634177</v>
      </c>
      <c r="AI23" s="351">
        <f t="shared" si="5"/>
        <v>18634</v>
      </c>
      <c r="AJ23" s="342"/>
      <c r="AK23" s="332"/>
    </row>
    <row r="24" spans="1:37" ht="15.75" customHeight="1">
      <c r="A24" s="461"/>
      <c r="B24" s="52" t="s">
        <v>311</v>
      </c>
      <c r="C24" s="53"/>
      <c r="D24" s="53"/>
      <c r="E24" s="96" t="s">
        <v>312</v>
      </c>
      <c r="F24" s="155">
        <f>F21-F22</f>
        <v>-33254</v>
      </c>
      <c r="G24" s="145">
        <f aca="true" t="shared" si="15" ref="G24:Q24">G21-G22</f>
        <v>-23265</v>
      </c>
      <c r="H24" s="155">
        <f>H21-H22</f>
        <v>-538</v>
      </c>
      <c r="I24" s="145">
        <f>I21-I22</f>
        <v>-249</v>
      </c>
      <c r="J24" s="155">
        <f t="shared" si="15"/>
        <v>-51208</v>
      </c>
      <c r="K24" s="145">
        <f t="shared" si="15"/>
        <v>-57276</v>
      </c>
      <c r="L24" s="155">
        <f t="shared" si="15"/>
        <v>-29837</v>
      </c>
      <c r="M24" s="145">
        <f t="shared" si="15"/>
        <v>-31200</v>
      </c>
      <c r="N24" s="155">
        <f t="shared" si="15"/>
        <v>-8950</v>
      </c>
      <c r="O24" s="145">
        <f t="shared" si="15"/>
        <v>-5037</v>
      </c>
      <c r="P24" s="155">
        <f t="shared" si="15"/>
        <v>-127</v>
      </c>
      <c r="Q24" s="145">
        <f t="shared" si="15"/>
        <v>212</v>
      </c>
      <c r="R24" s="71"/>
      <c r="S24" s="461"/>
      <c r="T24" s="52" t="s">
        <v>313</v>
      </c>
      <c r="U24" s="53"/>
      <c r="V24" s="53"/>
      <c r="W24" s="96" t="s">
        <v>314</v>
      </c>
      <c r="X24" s="352">
        <f>X21-X22</f>
        <v>-3400264</v>
      </c>
      <c r="Y24" s="352">
        <f>Y21-Y22</f>
        <v>-46058734</v>
      </c>
      <c r="Z24" s="352">
        <f>Z21-Z22</f>
        <v>-1748229</v>
      </c>
      <c r="AA24" s="352">
        <f>AA21-AA22</f>
        <v>-51207227</v>
      </c>
      <c r="AB24" s="352">
        <f>AB21-AB22</f>
        <v>-51208</v>
      </c>
      <c r="AC24" s="77"/>
      <c r="AD24" s="332"/>
      <c r="AE24" s="332"/>
      <c r="AF24" s="353">
        <f>AF21-AF22</f>
        <v>-1544738</v>
      </c>
      <c r="AG24" s="354">
        <f>AG21-AG22</f>
        <v>-7406087</v>
      </c>
      <c r="AH24" s="353">
        <f>AH21-AH22</f>
        <v>-8950825</v>
      </c>
      <c r="AI24" s="353">
        <f>AI21-AI22</f>
        <v>-8950</v>
      </c>
      <c r="AJ24" s="77"/>
      <c r="AK24" s="332"/>
    </row>
    <row r="25" spans="1:37" ht="15.75" customHeight="1">
      <c r="A25" s="461"/>
      <c r="B25" s="107" t="s">
        <v>63</v>
      </c>
      <c r="C25" s="68"/>
      <c r="D25" s="68"/>
      <c r="E25" s="463" t="s">
        <v>315</v>
      </c>
      <c r="F25" s="465">
        <v>33254</v>
      </c>
      <c r="G25" s="467">
        <v>23265</v>
      </c>
      <c r="H25" s="469">
        <v>538</v>
      </c>
      <c r="I25" s="467">
        <v>249</v>
      </c>
      <c r="J25" s="469">
        <f>AB25</f>
        <v>46560</v>
      </c>
      <c r="K25" s="467">
        <v>54384</v>
      </c>
      <c r="L25" s="469">
        <v>29837</v>
      </c>
      <c r="M25" s="467">
        <v>31200</v>
      </c>
      <c r="N25" s="469">
        <f>AI25-1</f>
        <v>8950</v>
      </c>
      <c r="O25" s="467">
        <v>5037</v>
      </c>
      <c r="P25" s="469">
        <v>127</v>
      </c>
      <c r="Q25" s="467">
        <v>0</v>
      </c>
      <c r="R25" s="71"/>
      <c r="S25" s="461"/>
      <c r="T25" s="107" t="s">
        <v>63</v>
      </c>
      <c r="U25" s="68"/>
      <c r="V25" s="68"/>
      <c r="W25" s="463" t="s">
        <v>316</v>
      </c>
      <c r="X25" s="490">
        <v>89576</v>
      </c>
      <c r="Y25" s="490">
        <v>46058734</v>
      </c>
      <c r="Z25" s="490">
        <v>411348</v>
      </c>
      <c r="AA25" s="490">
        <f>SUM(X25:Z26)</f>
        <v>46559658</v>
      </c>
      <c r="AB25" s="513">
        <f>ROUND(AA25/1000,0)</f>
        <v>46560</v>
      </c>
      <c r="AC25" s="362"/>
      <c r="AD25" s="332"/>
      <c r="AE25" s="332"/>
      <c r="AF25" s="504">
        <v>1544738</v>
      </c>
      <c r="AG25" s="502">
        <v>7406087</v>
      </c>
      <c r="AH25" s="504">
        <f>SUM(AF25:AG26)</f>
        <v>8950825</v>
      </c>
      <c r="AI25" s="506">
        <f>ROUND(AH25/1000,0)</f>
        <v>8951</v>
      </c>
      <c r="AJ25" s="362">
        <v>-1</v>
      </c>
      <c r="AK25" s="332"/>
    </row>
    <row r="26" spans="1:37" ht="15.75" customHeight="1">
      <c r="A26" s="461"/>
      <c r="B26" s="26" t="s">
        <v>64</v>
      </c>
      <c r="C26" s="67"/>
      <c r="D26" s="67"/>
      <c r="E26" s="464"/>
      <c r="F26" s="466"/>
      <c r="G26" s="468"/>
      <c r="H26" s="470"/>
      <c r="I26" s="468"/>
      <c r="J26" s="470">
        <f>AB26</f>
        <v>0</v>
      </c>
      <c r="K26" s="468">
        <v>0</v>
      </c>
      <c r="L26" s="470"/>
      <c r="M26" s="468"/>
      <c r="N26" s="470">
        <f>AI26</f>
        <v>0</v>
      </c>
      <c r="O26" s="468">
        <v>0</v>
      </c>
      <c r="P26" s="470"/>
      <c r="Q26" s="468"/>
      <c r="R26" s="71"/>
      <c r="S26" s="461"/>
      <c r="T26" s="26" t="s">
        <v>64</v>
      </c>
      <c r="U26" s="67"/>
      <c r="V26" s="67"/>
      <c r="W26" s="464"/>
      <c r="X26" s="514"/>
      <c r="Y26" s="514"/>
      <c r="Z26" s="514"/>
      <c r="AA26" s="514"/>
      <c r="AB26" s="513"/>
      <c r="AC26" s="362"/>
      <c r="AD26" s="332"/>
      <c r="AE26" s="332"/>
      <c r="AF26" s="505"/>
      <c r="AG26" s="503"/>
      <c r="AH26" s="505"/>
      <c r="AI26" s="507"/>
      <c r="AJ26" s="362"/>
      <c r="AK26" s="332"/>
    </row>
    <row r="27" spans="1:37" ht="15.75" customHeight="1">
      <c r="A27" s="462"/>
      <c r="B27" s="59" t="s">
        <v>317</v>
      </c>
      <c r="C27" s="37"/>
      <c r="D27" s="37"/>
      <c r="E27" s="101" t="s">
        <v>318</v>
      </c>
      <c r="F27" s="159">
        <f aca="true" t="shared" si="16" ref="F27:Q27">F24+F25</f>
        <v>0</v>
      </c>
      <c r="G27" s="146">
        <f t="shared" si="16"/>
        <v>0</v>
      </c>
      <c r="H27" s="159">
        <f>H24+H25</f>
        <v>0</v>
      </c>
      <c r="I27" s="146">
        <f>I24+I25</f>
        <v>0</v>
      </c>
      <c r="J27" s="159">
        <f t="shared" si="16"/>
        <v>-4648</v>
      </c>
      <c r="K27" s="146">
        <f t="shared" si="16"/>
        <v>-2892</v>
      </c>
      <c r="L27" s="159">
        <f t="shared" si="16"/>
        <v>0</v>
      </c>
      <c r="M27" s="146">
        <f t="shared" si="16"/>
        <v>0</v>
      </c>
      <c r="N27" s="159">
        <f t="shared" si="16"/>
        <v>0</v>
      </c>
      <c r="O27" s="146">
        <f t="shared" si="16"/>
        <v>0</v>
      </c>
      <c r="P27" s="159">
        <f t="shared" si="16"/>
        <v>0</v>
      </c>
      <c r="Q27" s="146">
        <f t="shared" si="16"/>
        <v>212</v>
      </c>
      <c r="R27" s="71"/>
      <c r="S27" s="462"/>
      <c r="T27" s="59" t="s">
        <v>317</v>
      </c>
      <c r="U27" s="37"/>
      <c r="V27" s="37"/>
      <c r="W27" s="101" t="s">
        <v>318</v>
      </c>
      <c r="X27" s="363">
        <f>X24+X25</f>
        <v>-3310688</v>
      </c>
      <c r="Y27" s="363">
        <f>Y24+Y25</f>
        <v>0</v>
      </c>
      <c r="Z27" s="363">
        <f>Z24+Z25</f>
        <v>-1336881</v>
      </c>
      <c r="AA27" s="363">
        <f>AA24+AA25</f>
        <v>-4647569</v>
      </c>
      <c r="AB27" s="363">
        <f>AB24+AB25</f>
        <v>-4648</v>
      </c>
      <c r="AC27" s="77"/>
      <c r="AD27" s="332"/>
      <c r="AE27" s="332"/>
      <c r="AF27" s="364">
        <f>AF24+AF25</f>
        <v>0</v>
      </c>
      <c r="AG27" s="365">
        <f>AG24+AG25</f>
        <v>0</v>
      </c>
      <c r="AH27" s="364">
        <f>AH24+AH25</f>
        <v>0</v>
      </c>
      <c r="AI27" s="364">
        <f>AI24+AI25</f>
        <v>1</v>
      </c>
      <c r="AJ27" s="77"/>
      <c r="AK27" s="332"/>
    </row>
    <row r="28" spans="1:23" ht="15.75" customHeight="1">
      <c r="A28" s="27"/>
      <c r="F28" s="71"/>
      <c r="G28" s="71"/>
      <c r="H28" s="71"/>
      <c r="I28" s="71"/>
      <c r="J28" s="71"/>
      <c r="K28" s="71"/>
      <c r="L28" s="71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</row>
    <row r="29" spans="1:26" ht="15.75" customHeight="1">
      <c r="A29" s="37"/>
      <c r="F29" s="71"/>
      <c r="G29" s="71"/>
      <c r="H29" s="71"/>
      <c r="I29" s="71"/>
      <c r="J29" s="71"/>
      <c r="K29" s="71"/>
      <c r="L29" s="73"/>
      <c r="M29" s="73"/>
      <c r="N29" s="72"/>
      <c r="O29" s="71"/>
      <c r="P29" s="71"/>
      <c r="Q29" s="73" t="s">
        <v>319</v>
      </c>
      <c r="R29" s="71"/>
      <c r="S29" s="71"/>
      <c r="T29" s="71"/>
      <c r="U29" s="71"/>
      <c r="V29" s="71"/>
      <c r="W29" s="73"/>
      <c r="Z29" s="186" t="s">
        <v>286</v>
      </c>
    </row>
    <row r="30" spans="1:30" ht="15.75" customHeight="1">
      <c r="A30" s="473" t="s">
        <v>65</v>
      </c>
      <c r="B30" s="474"/>
      <c r="C30" s="474"/>
      <c r="D30" s="474"/>
      <c r="E30" s="475"/>
      <c r="F30" s="508" t="s">
        <v>320</v>
      </c>
      <c r="G30" s="480"/>
      <c r="H30" s="508" t="s">
        <v>321</v>
      </c>
      <c r="I30" s="480"/>
      <c r="J30" s="508" t="s">
        <v>322</v>
      </c>
      <c r="K30" s="480"/>
      <c r="L30" s="508" t="s">
        <v>323</v>
      </c>
      <c r="M30" s="509"/>
      <c r="N30" s="481"/>
      <c r="O30" s="482"/>
      <c r="P30" s="481"/>
      <c r="Q30" s="482"/>
      <c r="R30" s="143"/>
      <c r="S30" s="473" t="s">
        <v>65</v>
      </c>
      <c r="T30" s="474"/>
      <c r="U30" s="474"/>
      <c r="V30" s="474"/>
      <c r="W30" s="475"/>
      <c r="X30" s="510" t="s">
        <v>324</v>
      </c>
      <c r="Y30" s="511"/>
      <c r="Z30" s="512"/>
      <c r="AA30" s="496" t="s">
        <v>294</v>
      </c>
      <c r="AB30" s="332"/>
      <c r="AC30" s="332"/>
      <c r="AD30" s="332"/>
    </row>
    <row r="31" spans="1:30" ht="15.75" customHeight="1">
      <c r="A31" s="476"/>
      <c r="B31" s="477"/>
      <c r="C31" s="477"/>
      <c r="D31" s="477"/>
      <c r="E31" s="478"/>
      <c r="F31" s="172" t="s">
        <v>296</v>
      </c>
      <c r="G31" s="51" t="s">
        <v>1</v>
      </c>
      <c r="H31" s="172" t="s">
        <v>296</v>
      </c>
      <c r="I31" s="51" t="s">
        <v>1</v>
      </c>
      <c r="J31" s="172" t="s">
        <v>296</v>
      </c>
      <c r="K31" s="51" t="s">
        <v>1</v>
      </c>
      <c r="L31" s="172" t="s">
        <v>296</v>
      </c>
      <c r="M31" s="51" t="s">
        <v>1</v>
      </c>
      <c r="N31" s="172" t="s">
        <v>296</v>
      </c>
      <c r="O31" s="51" t="s">
        <v>1</v>
      </c>
      <c r="P31" s="172" t="s">
        <v>296</v>
      </c>
      <c r="Q31" s="230" t="s">
        <v>1</v>
      </c>
      <c r="R31" s="141"/>
      <c r="S31" s="476"/>
      <c r="T31" s="477"/>
      <c r="U31" s="477"/>
      <c r="V31" s="477"/>
      <c r="W31" s="478"/>
      <c r="X31" s="338" t="s">
        <v>325</v>
      </c>
      <c r="Y31" s="366" t="s">
        <v>326</v>
      </c>
      <c r="Z31" s="252" t="s">
        <v>300</v>
      </c>
      <c r="AA31" s="497"/>
      <c r="AB31" s="336" t="s">
        <v>301</v>
      </c>
      <c r="AC31" s="337" t="s">
        <v>302</v>
      </c>
      <c r="AD31" s="332"/>
    </row>
    <row r="32" spans="1:30" ht="15.75" customHeight="1">
      <c r="A32" s="460" t="s">
        <v>86</v>
      </c>
      <c r="B32" s="47" t="s">
        <v>46</v>
      </c>
      <c r="C32" s="48"/>
      <c r="D32" s="48"/>
      <c r="E32" s="16" t="s">
        <v>37</v>
      </c>
      <c r="F32" s="130">
        <v>1706</v>
      </c>
      <c r="G32" s="131">
        <v>1783</v>
      </c>
      <c r="H32" s="108">
        <v>0</v>
      </c>
      <c r="I32" s="110">
        <v>2570</v>
      </c>
      <c r="J32" s="108">
        <v>2722</v>
      </c>
      <c r="K32" s="110">
        <v>2717</v>
      </c>
      <c r="L32" s="108">
        <v>1703</v>
      </c>
      <c r="M32" s="111">
        <v>1728</v>
      </c>
      <c r="N32" s="130"/>
      <c r="O32" s="131"/>
      <c r="P32" s="108"/>
      <c r="Q32" s="149"/>
      <c r="R32" s="131"/>
      <c r="S32" s="460" t="s">
        <v>86</v>
      </c>
      <c r="T32" s="47" t="s">
        <v>46</v>
      </c>
      <c r="U32" s="48"/>
      <c r="V32" s="48"/>
      <c r="W32" s="16" t="s">
        <v>37</v>
      </c>
      <c r="X32" s="367">
        <v>1115455</v>
      </c>
      <c r="Y32" s="368">
        <f>Y35+Y33</f>
        <v>583849</v>
      </c>
      <c r="Z32" s="369">
        <f>SUM(X32:Y32)</f>
        <v>1699304</v>
      </c>
      <c r="AA32" s="369">
        <f>ROUND(Z32/1000,0)</f>
        <v>1699</v>
      </c>
      <c r="AB32" s="332"/>
      <c r="AC32" s="343">
        <f>+AA33+AA35</f>
        <v>1699</v>
      </c>
      <c r="AD32" s="332"/>
    </row>
    <row r="33" spans="1:30" ht="15.75" customHeight="1">
      <c r="A33" s="483"/>
      <c r="B33" s="14"/>
      <c r="C33" s="50" t="s">
        <v>66</v>
      </c>
      <c r="D33" s="68"/>
      <c r="E33" s="103"/>
      <c r="F33" s="122">
        <v>739</v>
      </c>
      <c r="G33" s="123">
        <v>774</v>
      </c>
      <c r="H33" s="122">
        <v>0</v>
      </c>
      <c r="I33" s="124">
        <v>2570</v>
      </c>
      <c r="J33" s="122">
        <v>269</v>
      </c>
      <c r="K33" s="124">
        <v>259</v>
      </c>
      <c r="L33" s="122">
        <v>197</v>
      </c>
      <c r="M33" s="125">
        <v>183</v>
      </c>
      <c r="N33" s="122"/>
      <c r="O33" s="123"/>
      <c r="P33" s="122"/>
      <c r="Q33" s="134"/>
      <c r="R33" s="131"/>
      <c r="S33" s="483"/>
      <c r="T33" s="14"/>
      <c r="U33" s="50" t="s">
        <v>66</v>
      </c>
      <c r="V33" s="68"/>
      <c r="W33" s="103"/>
      <c r="X33" s="370">
        <v>0</v>
      </c>
      <c r="Y33" s="371">
        <v>164787</v>
      </c>
      <c r="Z33" s="372">
        <f>SUM(X33:Y33)</f>
        <v>164787</v>
      </c>
      <c r="AA33" s="372">
        <f aca="true" t="shared" si="17" ref="AA33:AA38">ROUND(Z33/1000,0)</f>
        <v>165</v>
      </c>
      <c r="AB33" s="332"/>
      <c r="AC33" s="343"/>
      <c r="AD33" s="332"/>
    </row>
    <row r="34" spans="1:30" ht="15.75" customHeight="1">
      <c r="A34" s="483"/>
      <c r="B34" s="14"/>
      <c r="C34" s="12"/>
      <c r="D34" s="61" t="s">
        <v>67</v>
      </c>
      <c r="E34" s="97"/>
      <c r="F34" s="112">
        <v>529</v>
      </c>
      <c r="G34" s="113">
        <v>558</v>
      </c>
      <c r="H34" s="112">
        <v>0</v>
      </c>
      <c r="I34" s="114">
        <v>15</v>
      </c>
      <c r="J34" s="112">
        <v>269</v>
      </c>
      <c r="K34" s="114">
        <v>259</v>
      </c>
      <c r="L34" s="112">
        <v>197</v>
      </c>
      <c r="M34" s="115">
        <v>183</v>
      </c>
      <c r="N34" s="112"/>
      <c r="O34" s="113"/>
      <c r="P34" s="112"/>
      <c r="Q34" s="145"/>
      <c r="R34" s="131"/>
      <c r="S34" s="483"/>
      <c r="T34" s="14"/>
      <c r="U34" s="12"/>
      <c r="V34" s="61" t="s">
        <v>67</v>
      </c>
      <c r="W34" s="97"/>
      <c r="X34" s="373">
        <v>0</v>
      </c>
      <c r="Y34" s="374">
        <v>164787</v>
      </c>
      <c r="Z34" s="375">
        <f>SUM(X34:Y34)</f>
        <v>164787</v>
      </c>
      <c r="AA34" s="375">
        <f t="shared" si="17"/>
        <v>165</v>
      </c>
      <c r="AB34" s="332"/>
      <c r="AC34" s="343"/>
      <c r="AD34" s="332"/>
    </row>
    <row r="35" spans="1:30" ht="15.75" customHeight="1">
      <c r="A35" s="483"/>
      <c r="B35" s="11"/>
      <c r="C35" s="31" t="s">
        <v>68</v>
      </c>
      <c r="D35" s="67"/>
      <c r="E35" s="104"/>
      <c r="F35" s="118">
        <v>967</v>
      </c>
      <c r="G35" s="119">
        <v>1009</v>
      </c>
      <c r="H35" s="118">
        <v>0</v>
      </c>
      <c r="I35" s="120">
        <v>0</v>
      </c>
      <c r="J35" s="118">
        <v>2453</v>
      </c>
      <c r="K35" s="120">
        <v>2458</v>
      </c>
      <c r="L35" s="139">
        <v>1506</v>
      </c>
      <c r="M35" s="140">
        <v>1545</v>
      </c>
      <c r="N35" s="118"/>
      <c r="O35" s="119"/>
      <c r="P35" s="118"/>
      <c r="Q35" s="144"/>
      <c r="R35" s="131"/>
      <c r="S35" s="483"/>
      <c r="T35" s="11"/>
      <c r="U35" s="31" t="s">
        <v>68</v>
      </c>
      <c r="V35" s="67"/>
      <c r="W35" s="104"/>
      <c r="X35" s="376">
        <v>1115455</v>
      </c>
      <c r="Y35" s="377">
        <v>419062</v>
      </c>
      <c r="Z35" s="378">
        <f>SUM(X35:Y35)</f>
        <v>1534517</v>
      </c>
      <c r="AA35" s="378">
        <f>ROUND(Z35/1000,0)+AB35</f>
        <v>1534</v>
      </c>
      <c r="AB35" s="332">
        <v>-1</v>
      </c>
      <c r="AC35" s="343"/>
      <c r="AD35" s="332"/>
    </row>
    <row r="36" spans="1:30" ht="15.75" customHeight="1">
      <c r="A36" s="483"/>
      <c r="B36" s="66" t="s">
        <v>49</v>
      </c>
      <c r="C36" s="69"/>
      <c r="D36" s="69"/>
      <c r="E36" s="16" t="s">
        <v>38</v>
      </c>
      <c r="F36" s="130">
        <v>1624</v>
      </c>
      <c r="G36" s="131">
        <v>1757</v>
      </c>
      <c r="H36" s="130">
        <v>0</v>
      </c>
      <c r="I36" s="132">
        <v>2352</v>
      </c>
      <c r="J36" s="130">
        <v>989</v>
      </c>
      <c r="K36" s="132">
        <v>1000</v>
      </c>
      <c r="L36" s="130">
        <v>799</v>
      </c>
      <c r="M36" s="133">
        <v>814</v>
      </c>
      <c r="N36" s="130"/>
      <c r="O36" s="131"/>
      <c r="P36" s="130"/>
      <c r="Q36" s="150"/>
      <c r="R36" s="131"/>
      <c r="S36" s="483"/>
      <c r="T36" s="66" t="s">
        <v>49</v>
      </c>
      <c r="U36" s="69"/>
      <c r="V36" s="69"/>
      <c r="W36" s="16" t="s">
        <v>38</v>
      </c>
      <c r="X36" s="379">
        <v>379977</v>
      </c>
      <c r="Y36" s="380">
        <f>Y37+Y38</f>
        <v>431374</v>
      </c>
      <c r="Z36" s="381">
        <f aca="true" t="shared" si="18" ref="Z36:Z48">SUM(X36:Y36)</f>
        <v>811351</v>
      </c>
      <c r="AA36" s="381">
        <f>ROUND(Z36/1000,0)</f>
        <v>811</v>
      </c>
      <c r="AB36" s="332"/>
      <c r="AC36" s="343">
        <f>AA37+AA38</f>
        <v>811</v>
      </c>
      <c r="AD36" s="332"/>
    </row>
    <row r="37" spans="1:30" ht="15.75" customHeight="1">
      <c r="A37" s="483"/>
      <c r="B37" s="14"/>
      <c r="C37" s="61" t="s">
        <v>69</v>
      </c>
      <c r="D37" s="53"/>
      <c r="E37" s="97"/>
      <c r="F37" s="112">
        <v>1607</v>
      </c>
      <c r="G37" s="113">
        <v>1726</v>
      </c>
      <c r="H37" s="112">
        <v>0</v>
      </c>
      <c r="I37" s="114">
        <v>0</v>
      </c>
      <c r="J37" s="112">
        <v>977</v>
      </c>
      <c r="K37" s="114">
        <v>979</v>
      </c>
      <c r="L37" s="112">
        <v>452</v>
      </c>
      <c r="M37" s="115">
        <v>438</v>
      </c>
      <c r="N37" s="112"/>
      <c r="O37" s="113"/>
      <c r="P37" s="112"/>
      <c r="Q37" s="145"/>
      <c r="R37" s="131"/>
      <c r="S37" s="483"/>
      <c r="T37" s="14"/>
      <c r="U37" s="61" t="s">
        <v>69</v>
      </c>
      <c r="V37" s="53"/>
      <c r="W37" s="97"/>
      <c r="X37" s="373">
        <v>0</v>
      </c>
      <c r="Y37" s="374">
        <v>406301</v>
      </c>
      <c r="Z37" s="375">
        <f t="shared" si="18"/>
        <v>406301</v>
      </c>
      <c r="AA37" s="375">
        <f>ROUND(Z37/1000,0)</f>
        <v>406</v>
      </c>
      <c r="AB37" s="332"/>
      <c r="AC37" s="332"/>
      <c r="AD37" s="332"/>
    </row>
    <row r="38" spans="1:30" ht="15.75" customHeight="1">
      <c r="A38" s="483"/>
      <c r="B38" s="11"/>
      <c r="C38" s="61" t="s">
        <v>70</v>
      </c>
      <c r="D38" s="53"/>
      <c r="E38" s="97"/>
      <c r="F38" s="155">
        <v>17</v>
      </c>
      <c r="G38" s="145">
        <v>31</v>
      </c>
      <c r="H38" s="112">
        <v>0</v>
      </c>
      <c r="I38" s="114">
        <v>2352</v>
      </c>
      <c r="J38" s="112">
        <v>12</v>
      </c>
      <c r="K38" s="114">
        <v>21</v>
      </c>
      <c r="L38" s="112">
        <v>347</v>
      </c>
      <c r="M38" s="140">
        <v>376</v>
      </c>
      <c r="N38" s="112"/>
      <c r="O38" s="113"/>
      <c r="P38" s="112"/>
      <c r="Q38" s="145"/>
      <c r="R38" s="131"/>
      <c r="S38" s="483"/>
      <c r="T38" s="11"/>
      <c r="U38" s="61" t="s">
        <v>70</v>
      </c>
      <c r="V38" s="53"/>
      <c r="W38" s="97"/>
      <c r="X38" s="373">
        <v>379977</v>
      </c>
      <c r="Y38" s="374">
        <v>25073</v>
      </c>
      <c r="Z38" s="375">
        <f t="shared" si="18"/>
        <v>405050</v>
      </c>
      <c r="AA38" s="375">
        <f t="shared" si="17"/>
        <v>405</v>
      </c>
      <c r="AB38" s="332"/>
      <c r="AC38" s="332"/>
      <c r="AD38" s="332"/>
    </row>
    <row r="39" spans="1:30" ht="15.75" customHeight="1">
      <c r="A39" s="484"/>
      <c r="B39" s="6" t="s">
        <v>71</v>
      </c>
      <c r="C39" s="7"/>
      <c r="D39" s="7"/>
      <c r="E39" s="105" t="s">
        <v>327</v>
      </c>
      <c r="F39" s="159">
        <f>F32-F36</f>
        <v>82</v>
      </c>
      <c r="G39" s="146">
        <f>G32-G36</f>
        <v>26</v>
      </c>
      <c r="H39" s="159">
        <f>H32-H36</f>
        <v>0</v>
      </c>
      <c r="I39" s="146">
        <f>I32-I36</f>
        <v>218</v>
      </c>
      <c r="J39" s="159">
        <f aca="true" t="shared" si="19" ref="J39:Q39">J32-J36</f>
        <v>1733</v>
      </c>
      <c r="K39" s="146">
        <f t="shared" si="19"/>
        <v>1717</v>
      </c>
      <c r="L39" s="159">
        <f t="shared" si="19"/>
        <v>904</v>
      </c>
      <c r="M39" s="146">
        <f t="shared" si="19"/>
        <v>914</v>
      </c>
      <c r="N39" s="159">
        <f t="shared" si="19"/>
        <v>0</v>
      </c>
      <c r="O39" s="146">
        <f t="shared" si="19"/>
        <v>0</v>
      </c>
      <c r="P39" s="159">
        <f t="shared" si="19"/>
        <v>0</v>
      </c>
      <c r="Q39" s="146">
        <f t="shared" si="19"/>
        <v>0</v>
      </c>
      <c r="R39" s="131"/>
      <c r="S39" s="484"/>
      <c r="T39" s="6" t="s">
        <v>71</v>
      </c>
      <c r="U39" s="7"/>
      <c r="V39" s="7"/>
      <c r="W39" s="105" t="s">
        <v>327</v>
      </c>
      <c r="X39" s="382">
        <f>X32-X36</f>
        <v>735478</v>
      </c>
      <c r="Y39" s="138">
        <f>Y32-Y36</f>
        <v>152475</v>
      </c>
      <c r="Z39" s="146">
        <f t="shared" si="18"/>
        <v>887953</v>
      </c>
      <c r="AA39" s="146">
        <f>AA32-AA36</f>
        <v>888</v>
      </c>
      <c r="AB39" s="332"/>
      <c r="AC39" s="332"/>
      <c r="AD39" s="332"/>
    </row>
    <row r="40" spans="1:30" ht="15.75" customHeight="1">
      <c r="A40" s="460" t="s">
        <v>87</v>
      </c>
      <c r="B40" s="66" t="s">
        <v>72</v>
      </c>
      <c r="C40" s="69"/>
      <c r="D40" s="69"/>
      <c r="E40" s="16" t="s">
        <v>40</v>
      </c>
      <c r="F40" s="157">
        <v>77</v>
      </c>
      <c r="G40" s="150">
        <v>77</v>
      </c>
      <c r="H40" s="130">
        <v>0</v>
      </c>
      <c r="I40" s="132">
        <v>17528</v>
      </c>
      <c r="J40" s="130">
        <v>0</v>
      </c>
      <c r="K40" s="132">
        <v>0</v>
      </c>
      <c r="L40" s="130">
        <v>241</v>
      </c>
      <c r="M40" s="133">
        <v>247</v>
      </c>
      <c r="N40" s="130"/>
      <c r="O40" s="131"/>
      <c r="P40" s="130"/>
      <c r="Q40" s="150"/>
      <c r="R40" s="131"/>
      <c r="S40" s="460" t="s">
        <v>328</v>
      </c>
      <c r="T40" s="66" t="s">
        <v>72</v>
      </c>
      <c r="U40" s="69"/>
      <c r="V40" s="69"/>
      <c r="W40" s="16" t="s">
        <v>40</v>
      </c>
      <c r="X40" s="379">
        <v>190185</v>
      </c>
      <c r="Y40" s="380">
        <v>41000</v>
      </c>
      <c r="Z40" s="381">
        <f t="shared" si="18"/>
        <v>231185</v>
      </c>
      <c r="AA40" s="381">
        <f>ROUND(Z40/1000,0)</f>
        <v>231</v>
      </c>
      <c r="AB40" s="332"/>
      <c r="AC40" s="332"/>
      <c r="AD40" s="332"/>
    </row>
    <row r="41" spans="1:30" ht="15.75" customHeight="1">
      <c r="A41" s="485"/>
      <c r="B41" s="11"/>
      <c r="C41" s="61" t="s">
        <v>73</v>
      </c>
      <c r="D41" s="53"/>
      <c r="E41" s="97"/>
      <c r="F41" s="161">
        <v>0</v>
      </c>
      <c r="G41" s="163" t="s">
        <v>329</v>
      </c>
      <c r="H41" s="139">
        <v>0</v>
      </c>
      <c r="I41" s="140">
        <v>0</v>
      </c>
      <c r="J41" s="139">
        <v>0</v>
      </c>
      <c r="K41" s="140">
        <v>0</v>
      </c>
      <c r="L41" s="112">
        <v>0</v>
      </c>
      <c r="M41" s="115">
        <v>0</v>
      </c>
      <c r="N41" s="112"/>
      <c r="O41" s="113"/>
      <c r="P41" s="112"/>
      <c r="Q41" s="145"/>
      <c r="R41" s="142"/>
      <c r="S41" s="485"/>
      <c r="T41" s="11"/>
      <c r="U41" s="61" t="s">
        <v>73</v>
      </c>
      <c r="V41" s="53"/>
      <c r="W41" s="97"/>
      <c r="X41" s="383">
        <v>0</v>
      </c>
      <c r="Y41" s="126">
        <v>0</v>
      </c>
      <c r="Z41" s="163">
        <f t="shared" si="18"/>
        <v>0</v>
      </c>
      <c r="AA41" s="163">
        <f>ROUND(Z41/1000,0)</f>
        <v>0</v>
      </c>
      <c r="AB41" s="332"/>
      <c r="AC41" s="332"/>
      <c r="AD41" s="332"/>
    </row>
    <row r="42" spans="1:30" ht="15.75" customHeight="1">
      <c r="A42" s="485"/>
      <c r="B42" s="66" t="s">
        <v>60</v>
      </c>
      <c r="C42" s="69"/>
      <c r="D42" s="69"/>
      <c r="E42" s="16" t="s">
        <v>41</v>
      </c>
      <c r="F42" s="157">
        <v>159</v>
      </c>
      <c r="G42" s="150">
        <v>103</v>
      </c>
      <c r="H42" s="130">
        <v>0</v>
      </c>
      <c r="I42" s="132">
        <v>17746</v>
      </c>
      <c r="J42" s="130">
        <v>1720</v>
      </c>
      <c r="K42" s="132">
        <v>1716</v>
      </c>
      <c r="L42" s="130">
        <v>1145</v>
      </c>
      <c r="M42" s="133">
        <v>1161</v>
      </c>
      <c r="N42" s="130"/>
      <c r="O42" s="131"/>
      <c r="P42" s="130"/>
      <c r="Q42" s="150"/>
      <c r="R42" s="131"/>
      <c r="S42" s="485"/>
      <c r="T42" s="66" t="s">
        <v>60</v>
      </c>
      <c r="U42" s="69"/>
      <c r="V42" s="69"/>
      <c r="W42" s="16" t="s">
        <v>41</v>
      </c>
      <c r="X42" s="379">
        <v>925663</v>
      </c>
      <c r="Y42" s="380">
        <v>193475</v>
      </c>
      <c r="Z42" s="381">
        <f t="shared" si="18"/>
        <v>1119138</v>
      </c>
      <c r="AA42" s="381">
        <f>ROUND(Z42/1000,0)</f>
        <v>1119</v>
      </c>
      <c r="AB42" s="332"/>
      <c r="AC42" s="332"/>
      <c r="AD42" s="332"/>
    </row>
    <row r="43" spans="1:30" ht="15.75" customHeight="1">
      <c r="A43" s="485"/>
      <c r="B43" s="11"/>
      <c r="C43" s="61" t="s">
        <v>74</v>
      </c>
      <c r="D43" s="53"/>
      <c r="E43" s="97"/>
      <c r="F43" s="155">
        <v>56</v>
      </c>
      <c r="G43" s="145">
        <v>55</v>
      </c>
      <c r="H43" s="112">
        <v>0</v>
      </c>
      <c r="I43" s="114">
        <v>17465</v>
      </c>
      <c r="J43" s="112">
        <v>185</v>
      </c>
      <c r="K43" s="114">
        <v>330</v>
      </c>
      <c r="L43" s="139">
        <v>1137</v>
      </c>
      <c r="M43" s="140">
        <v>1108</v>
      </c>
      <c r="N43" s="112"/>
      <c r="O43" s="113"/>
      <c r="P43" s="112"/>
      <c r="Q43" s="145"/>
      <c r="R43" s="131"/>
      <c r="S43" s="485"/>
      <c r="T43" s="11"/>
      <c r="U43" s="61" t="s">
        <v>74</v>
      </c>
      <c r="V43" s="53"/>
      <c r="W43" s="97"/>
      <c r="X43" s="373">
        <v>885668</v>
      </c>
      <c r="Y43" s="374">
        <v>193475</v>
      </c>
      <c r="Z43" s="375">
        <f t="shared" si="18"/>
        <v>1079143</v>
      </c>
      <c r="AA43" s="375">
        <f>ROUND(Z43/1000,0)</f>
        <v>1079</v>
      </c>
      <c r="AB43" s="332"/>
      <c r="AC43" s="332"/>
      <c r="AD43" s="332"/>
    </row>
    <row r="44" spans="1:30" ht="15.75" customHeight="1">
      <c r="A44" s="486"/>
      <c r="B44" s="59" t="s">
        <v>71</v>
      </c>
      <c r="C44" s="37"/>
      <c r="D44" s="37"/>
      <c r="E44" s="105" t="s">
        <v>330</v>
      </c>
      <c r="F44" s="156">
        <f>F40-F42</f>
        <v>-82</v>
      </c>
      <c r="G44" s="160">
        <f>G40-G42</f>
        <v>-26</v>
      </c>
      <c r="H44" s="156">
        <f>H40-H42</f>
        <v>0</v>
      </c>
      <c r="I44" s="160">
        <f>I40-I42</f>
        <v>-218</v>
      </c>
      <c r="J44" s="156">
        <f aca="true" t="shared" si="20" ref="J44:Q44">J40-J42</f>
        <v>-1720</v>
      </c>
      <c r="K44" s="160">
        <f t="shared" si="20"/>
        <v>-1716</v>
      </c>
      <c r="L44" s="156">
        <f t="shared" si="20"/>
        <v>-904</v>
      </c>
      <c r="M44" s="160">
        <f t="shared" si="20"/>
        <v>-914</v>
      </c>
      <c r="N44" s="156">
        <f t="shared" si="20"/>
        <v>0</v>
      </c>
      <c r="O44" s="160">
        <f t="shared" si="20"/>
        <v>0</v>
      </c>
      <c r="P44" s="156">
        <f t="shared" si="20"/>
        <v>0</v>
      </c>
      <c r="Q44" s="160">
        <f t="shared" si="20"/>
        <v>0</v>
      </c>
      <c r="R44" s="142"/>
      <c r="S44" s="486"/>
      <c r="T44" s="59" t="s">
        <v>71</v>
      </c>
      <c r="U44" s="37"/>
      <c r="V44" s="37"/>
      <c r="W44" s="105" t="s">
        <v>330</v>
      </c>
      <c r="X44" s="384">
        <f>X40-X42</f>
        <v>-735478</v>
      </c>
      <c r="Y44" s="385">
        <f>Y40-Y42</f>
        <v>-152475</v>
      </c>
      <c r="Z44" s="160">
        <f t="shared" si="18"/>
        <v>-887953</v>
      </c>
      <c r="AA44" s="160">
        <f>AA40-AA42</f>
        <v>-888</v>
      </c>
      <c r="AB44" s="332"/>
      <c r="AC44" s="332"/>
      <c r="AD44" s="332"/>
    </row>
    <row r="45" spans="1:30" ht="15.75" customHeight="1">
      <c r="A45" s="487" t="s">
        <v>79</v>
      </c>
      <c r="B45" s="20" t="s">
        <v>75</v>
      </c>
      <c r="C45" s="9"/>
      <c r="D45" s="9"/>
      <c r="E45" s="106" t="s">
        <v>331</v>
      </c>
      <c r="F45" s="162">
        <f>F39+F44</f>
        <v>0</v>
      </c>
      <c r="G45" s="147">
        <f>G39+G44</f>
        <v>0</v>
      </c>
      <c r="H45" s="162">
        <f>H39+H44</f>
        <v>0</v>
      </c>
      <c r="I45" s="147">
        <f>I39+I44</f>
        <v>0</v>
      </c>
      <c r="J45" s="162">
        <f aca="true" t="shared" si="21" ref="J45:Q45">J39+J44</f>
        <v>13</v>
      </c>
      <c r="K45" s="147">
        <f t="shared" si="21"/>
        <v>1</v>
      </c>
      <c r="L45" s="162">
        <f t="shared" si="21"/>
        <v>0</v>
      </c>
      <c r="M45" s="147">
        <f t="shared" si="21"/>
        <v>0</v>
      </c>
      <c r="N45" s="162">
        <f t="shared" si="21"/>
        <v>0</v>
      </c>
      <c r="O45" s="147">
        <f t="shared" si="21"/>
        <v>0</v>
      </c>
      <c r="P45" s="162">
        <f t="shared" si="21"/>
        <v>0</v>
      </c>
      <c r="Q45" s="147">
        <f t="shared" si="21"/>
        <v>0</v>
      </c>
      <c r="R45" s="131"/>
      <c r="S45" s="487" t="s">
        <v>79</v>
      </c>
      <c r="T45" s="20" t="s">
        <v>75</v>
      </c>
      <c r="U45" s="9"/>
      <c r="V45" s="9"/>
      <c r="W45" s="106" t="s">
        <v>331</v>
      </c>
      <c r="X45" s="386">
        <f>X39+X44</f>
        <v>0</v>
      </c>
      <c r="Y45" s="387">
        <f>Y39+Y44</f>
        <v>0</v>
      </c>
      <c r="Z45" s="147">
        <f t="shared" si="18"/>
        <v>0</v>
      </c>
      <c r="AA45" s="147">
        <f>AA39+AA44</f>
        <v>0</v>
      </c>
      <c r="AB45" s="332"/>
      <c r="AC45" s="332"/>
      <c r="AD45" s="332"/>
    </row>
    <row r="46" spans="1:30" ht="15.75" customHeight="1">
      <c r="A46" s="488"/>
      <c r="B46" s="52" t="s">
        <v>76</v>
      </c>
      <c r="C46" s="53"/>
      <c r="D46" s="53"/>
      <c r="E46" s="53"/>
      <c r="F46" s="161">
        <v>0</v>
      </c>
      <c r="G46" s="163">
        <v>0</v>
      </c>
      <c r="H46" s="139">
        <v>0</v>
      </c>
      <c r="I46" s="140">
        <v>0</v>
      </c>
      <c r="J46" s="139">
        <v>0</v>
      </c>
      <c r="K46" s="140">
        <v>47</v>
      </c>
      <c r="L46" s="139">
        <v>0</v>
      </c>
      <c r="M46" s="140">
        <v>0</v>
      </c>
      <c r="N46" s="112"/>
      <c r="O46" s="113"/>
      <c r="P46" s="139"/>
      <c r="Q46" s="126"/>
      <c r="R46" s="142"/>
      <c r="S46" s="488"/>
      <c r="T46" s="52" t="s">
        <v>76</v>
      </c>
      <c r="U46" s="53"/>
      <c r="V46" s="53"/>
      <c r="W46" s="53"/>
      <c r="X46" s="383">
        <v>0</v>
      </c>
      <c r="Y46" s="126">
        <v>0</v>
      </c>
      <c r="Z46" s="163">
        <f t="shared" si="18"/>
        <v>0</v>
      </c>
      <c r="AA46" s="163">
        <f>ROUND(Z46/1000,0)</f>
        <v>0</v>
      </c>
      <c r="AB46" s="332"/>
      <c r="AC46" s="332"/>
      <c r="AD46" s="332"/>
    </row>
    <row r="47" spans="1:30" ht="15.75" customHeight="1">
      <c r="A47" s="488"/>
      <c r="B47" s="52" t="s">
        <v>77</v>
      </c>
      <c r="C47" s="53"/>
      <c r="D47" s="53"/>
      <c r="E47" s="53"/>
      <c r="F47" s="112">
        <v>0</v>
      </c>
      <c r="G47" s="113">
        <v>0</v>
      </c>
      <c r="H47" s="112">
        <v>0</v>
      </c>
      <c r="I47" s="114">
        <v>0</v>
      </c>
      <c r="J47" s="112">
        <v>115</v>
      </c>
      <c r="K47" s="114">
        <v>102</v>
      </c>
      <c r="L47" s="112">
        <v>0</v>
      </c>
      <c r="M47" s="115">
        <v>0</v>
      </c>
      <c r="N47" s="112"/>
      <c r="O47" s="113"/>
      <c r="P47" s="112"/>
      <c r="Q47" s="145"/>
      <c r="R47" s="131"/>
      <c r="S47" s="488"/>
      <c r="T47" s="52" t="s">
        <v>77</v>
      </c>
      <c r="U47" s="53"/>
      <c r="V47" s="53"/>
      <c r="W47" s="53"/>
      <c r="X47" s="388">
        <v>0</v>
      </c>
      <c r="Y47" s="115">
        <v>0</v>
      </c>
      <c r="Z47" s="145">
        <f t="shared" si="18"/>
        <v>0</v>
      </c>
      <c r="AA47" s="145">
        <f>ROUND(Z47/1000,0)</f>
        <v>0</v>
      </c>
      <c r="AB47" s="332"/>
      <c r="AC47" s="332"/>
      <c r="AD47" s="332"/>
    </row>
    <row r="48" spans="1:30" ht="15.75" customHeight="1">
      <c r="A48" s="489"/>
      <c r="B48" s="59" t="s">
        <v>78</v>
      </c>
      <c r="C48" s="37"/>
      <c r="D48" s="37"/>
      <c r="E48" s="37"/>
      <c r="F48" s="135">
        <v>0</v>
      </c>
      <c r="G48" s="136">
        <v>0</v>
      </c>
      <c r="H48" s="135">
        <v>0</v>
      </c>
      <c r="I48" s="137">
        <v>0</v>
      </c>
      <c r="J48" s="135">
        <v>115</v>
      </c>
      <c r="K48" s="137">
        <v>102</v>
      </c>
      <c r="L48" s="135">
        <v>0</v>
      </c>
      <c r="M48" s="138">
        <v>0</v>
      </c>
      <c r="N48" s="135"/>
      <c r="O48" s="136"/>
      <c r="P48" s="135"/>
      <c r="Q48" s="146"/>
      <c r="R48" s="131"/>
      <c r="S48" s="489"/>
      <c r="T48" s="59" t="s">
        <v>78</v>
      </c>
      <c r="U48" s="37"/>
      <c r="V48" s="37"/>
      <c r="W48" s="37"/>
      <c r="X48" s="382">
        <v>0</v>
      </c>
      <c r="Y48" s="138">
        <v>0</v>
      </c>
      <c r="Z48" s="146">
        <f t="shared" si="18"/>
        <v>0</v>
      </c>
      <c r="AA48" s="146">
        <f>ROUND(Z48/1000,0)</f>
        <v>0</v>
      </c>
      <c r="AB48" s="332"/>
      <c r="AC48" s="332"/>
      <c r="AD48" s="332"/>
    </row>
    <row r="49" spans="1:17" ht="15.75" customHeight="1">
      <c r="A49" s="27" t="s">
        <v>332</v>
      </c>
      <c r="Q49" s="5"/>
    </row>
    <row r="50" spans="1:17" ht="15.75" customHeight="1">
      <c r="A50" s="27"/>
      <c r="Q50" s="14"/>
    </row>
  </sheetData>
  <sheetProtection/>
  <mergeCells count="55">
    <mergeCell ref="A40:A44"/>
    <mergeCell ref="S40:S44"/>
    <mergeCell ref="A45:A48"/>
    <mergeCell ref="S45:S48"/>
    <mergeCell ref="N30:O30"/>
    <mergeCell ref="P30:Q30"/>
    <mergeCell ref="S30:W31"/>
    <mergeCell ref="X30:Z30"/>
    <mergeCell ref="AA30:AA31"/>
    <mergeCell ref="A32:A39"/>
    <mergeCell ref="S32:S39"/>
    <mergeCell ref="AB25:AB26"/>
    <mergeCell ref="AF25:AF26"/>
    <mergeCell ref="X25:X26"/>
    <mergeCell ref="Y25:Y26"/>
    <mergeCell ref="Z25:Z26"/>
    <mergeCell ref="AA25:AA26"/>
    <mergeCell ref="AG25:AG26"/>
    <mergeCell ref="AH25:AH26"/>
    <mergeCell ref="AI25:AI26"/>
    <mergeCell ref="A30:E31"/>
    <mergeCell ref="F30:G30"/>
    <mergeCell ref="H30:I30"/>
    <mergeCell ref="J30:K30"/>
    <mergeCell ref="L30:M30"/>
    <mergeCell ref="Q25:Q26"/>
    <mergeCell ref="W25:W26"/>
    <mergeCell ref="K25:K26"/>
    <mergeCell ref="L25:L26"/>
    <mergeCell ref="M25:M26"/>
    <mergeCell ref="N25:N26"/>
    <mergeCell ref="O25:O26"/>
    <mergeCell ref="P25:P26"/>
    <mergeCell ref="A8:A18"/>
    <mergeCell ref="S8:S18"/>
    <mergeCell ref="A19:A27"/>
    <mergeCell ref="S19:S27"/>
    <mergeCell ref="E25:E26"/>
    <mergeCell ref="F25:F26"/>
    <mergeCell ref="G25:G26"/>
    <mergeCell ref="H25:H26"/>
    <mergeCell ref="I25:I26"/>
    <mergeCell ref="J25:J26"/>
    <mergeCell ref="P6:Q6"/>
    <mergeCell ref="S6:W7"/>
    <mergeCell ref="X6:AA6"/>
    <mergeCell ref="AB6:AB7"/>
    <mergeCell ref="AF6:AH6"/>
    <mergeCell ref="AI6:AI7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67" r:id="rId3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1" sqref="D11"/>
    </sheetView>
  </sheetViews>
  <sheetFormatPr defaultColWidth="8.796875" defaultRowHeight="14.25"/>
  <cols>
    <col min="1" max="2" width="3.59765625" style="237" customWidth="1"/>
    <col min="3" max="3" width="21.3984375" style="237" customWidth="1"/>
    <col min="4" max="4" width="20" style="237" customWidth="1"/>
    <col min="5" max="26" width="12.59765625" style="237" customWidth="1"/>
    <col min="27" max="16384" width="9" style="237" customWidth="1"/>
  </cols>
  <sheetData>
    <row r="1" spans="1:4" ht="33.75" customHeight="1">
      <c r="A1" s="256" t="s">
        <v>0</v>
      </c>
      <c r="B1" s="256"/>
      <c r="C1" s="257" t="s">
        <v>254</v>
      </c>
      <c r="D1" s="258"/>
    </row>
    <row r="3" spans="1:24" ht="15" customHeight="1">
      <c r="A3" s="259" t="s">
        <v>255</v>
      </c>
      <c r="B3" s="259"/>
      <c r="C3" s="259"/>
      <c r="D3" s="259"/>
      <c r="E3" s="259"/>
      <c r="F3" s="259"/>
      <c r="G3" s="259"/>
      <c r="H3" s="259"/>
      <c r="M3" s="259"/>
      <c r="N3" s="259"/>
      <c r="S3" s="259"/>
      <c r="T3" s="259"/>
      <c r="W3" s="259"/>
      <c r="X3" s="259"/>
    </row>
    <row r="4" spans="1:24" ht="15" customHeight="1">
      <c r="A4" s="259"/>
      <c r="B4" s="259"/>
      <c r="C4" s="259"/>
      <c r="D4" s="259"/>
      <c r="E4" s="259"/>
      <c r="F4" s="259"/>
      <c r="G4" s="259"/>
      <c r="H4" s="259"/>
      <c r="M4" s="259"/>
      <c r="N4" s="259"/>
      <c r="S4" s="259"/>
      <c r="T4" s="259"/>
      <c r="W4" s="259"/>
      <c r="X4" s="259"/>
    </row>
    <row r="5" spans="1:26" ht="15" customHeight="1">
      <c r="A5" s="260"/>
      <c r="B5" s="260" t="s">
        <v>256</v>
      </c>
      <c r="C5" s="260"/>
      <c r="D5" s="260"/>
      <c r="J5" s="261"/>
      <c r="L5" s="261"/>
      <c r="P5" s="261"/>
      <c r="R5" s="261"/>
      <c r="V5" s="261"/>
      <c r="Z5" s="261" t="s">
        <v>193</v>
      </c>
    </row>
    <row r="6" spans="1:26" ht="15" customHeight="1">
      <c r="A6" s="262"/>
      <c r="B6" s="263"/>
      <c r="C6" s="263"/>
      <c r="D6" s="263"/>
      <c r="E6" s="523" t="s">
        <v>257</v>
      </c>
      <c r="F6" s="524"/>
      <c r="G6" s="523" t="s">
        <v>258</v>
      </c>
      <c r="H6" s="524"/>
      <c r="I6" s="523" t="s">
        <v>259</v>
      </c>
      <c r="J6" s="524"/>
      <c r="K6" s="523" t="s">
        <v>260</v>
      </c>
      <c r="L6" s="524"/>
      <c r="M6" s="523" t="s">
        <v>261</v>
      </c>
      <c r="N6" s="524"/>
      <c r="O6" s="521" t="s">
        <v>262</v>
      </c>
      <c r="P6" s="522"/>
      <c r="Q6" s="523" t="s">
        <v>263</v>
      </c>
      <c r="R6" s="524"/>
      <c r="S6" s="523" t="s">
        <v>264</v>
      </c>
      <c r="T6" s="524"/>
      <c r="U6" s="523" t="s">
        <v>265</v>
      </c>
      <c r="V6" s="524"/>
      <c r="W6" s="521" t="s">
        <v>266</v>
      </c>
      <c r="X6" s="522"/>
      <c r="Y6" s="523" t="s">
        <v>267</v>
      </c>
      <c r="Z6" s="524"/>
    </row>
    <row r="7" spans="1:26" ht="15" customHeight="1">
      <c r="A7" s="264"/>
      <c r="B7" s="265"/>
      <c r="C7" s="265"/>
      <c r="D7" s="265"/>
      <c r="E7" s="266" t="s">
        <v>268</v>
      </c>
      <c r="F7" s="267" t="s">
        <v>1</v>
      </c>
      <c r="G7" s="266" t="s">
        <v>242</v>
      </c>
      <c r="H7" s="267" t="s">
        <v>1</v>
      </c>
      <c r="I7" s="266" t="s">
        <v>242</v>
      </c>
      <c r="J7" s="267" t="s">
        <v>1</v>
      </c>
      <c r="K7" s="266" t="s">
        <v>242</v>
      </c>
      <c r="L7" s="267" t="s">
        <v>1</v>
      </c>
      <c r="M7" s="266" t="s">
        <v>242</v>
      </c>
      <c r="N7" s="267" t="s">
        <v>1</v>
      </c>
      <c r="O7" s="266" t="s">
        <v>242</v>
      </c>
      <c r="P7" s="267" t="s">
        <v>1</v>
      </c>
      <c r="Q7" s="266" t="s">
        <v>242</v>
      </c>
      <c r="R7" s="267" t="s">
        <v>1</v>
      </c>
      <c r="S7" s="266" t="s">
        <v>242</v>
      </c>
      <c r="T7" s="267" t="s">
        <v>1</v>
      </c>
      <c r="U7" s="266" t="s">
        <v>242</v>
      </c>
      <c r="V7" s="267" t="s">
        <v>1</v>
      </c>
      <c r="W7" s="266" t="s">
        <v>242</v>
      </c>
      <c r="X7" s="267" t="s">
        <v>1</v>
      </c>
      <c r="Y7" s="266" t="s">
        <v>242</v>
      </c>
      <c r="Z7" s="268" t="s">
        <v>1</v>
      </c>
    </row>
    <row r="8" spans="1:26" ht="18" customHeight="1">
      <c r="A8" s="520" t="s">
        <v>194</v>
      </c>
      <c r="B8" s="269" t="s">
        <v>195</v>
      </c>
      <c r="C8" s="270"/>
      <c r="D8" s="270"/>
      <c r="E8" s="271">
        <v>1</v>
      </c>
      <c r="F8" s="272">
        <v>1</v>
      </c>
      <c r="G8" s="271">
        <v>25</v>
      </c>
      <c r="H8" s="272">
        <v>25</v>
      </c>
      <c r="I8" s="271">
        <v>23</v>
      </c>
      <c r="J8" s="273">
        <v>23</v>
      </c>
      <c r="K8" s="271">
        <v>82</v>
      </c>
      <c r="L8" s="273">
        <v>82</v>
      </c>
      <c r="M8" s="271">
        <v>84</v>
      </c>
      <c r="N8" s="272">
        <v>84</v>
      </c>
      <c r="O8" s="271">
        <v>20</v>
      </c>
      <c r="P8" s="273">
        <v>20</v>
      </c>
      <c r="Q8" s="271">
        <v>1</v>
      </c>
      <c r="R8" s="273">
        <v>1</v>
      </c>
      <c r="S8" s="271">
        <v>1</v>
      </c>
      <c r="T8" s="272">
        <v>1</v>
      </c>
      <c r="U8" s="271">
        <v>1</v>
      </c>
      <c r="V8" s="273">
        <v>1</v>
      </c>
      <c r="W8" s="271">
        <v>1</v>
      </c>
      <c r="X8" s="272">
        <v>1</v>
      </c>
      <c r="Y8" s="271">
        <v>1</v>
      </c>
      <c r="Z8" s="274"/>
    </row>
    <row r="9" spans="1:26" ht="18" customHeight="1">
      <c r="A9" s="518"/>
      <c r="B9" s="520" t="s">
        <v>196</v>
      </c>
      <c r="C9" s="275" t="s">
        <v>197</v>
      </c>
      <c r="D9" s="276"/>
      <c r="E9" s="277">
        <v>40</v>
      </c>
      <c r="F9" s="278">
        <v>40</v>
      </c>
      <c r="G9" s="277">
        <v>30699</v>
      </c>
      <c r="H9" s="278">
        <v>30699</v>
      </c>
      <c r="I9" s="277">
        <v>3370</v>
      </c>
      <c r="J9" s="279">
        <v>3370</v>
      </c>
      <c r="K9" s="277">
        <v>490</v>
      </c>
      <c r="L9" s="279">
        <v>490</v>
      </c>
      <c r="M9" s="277">
        <v>20</v>
      </c>
      <c r="N9" s="278">
        <v>20</v>
      </c>
      <c r="O9" s="277">
        <v>6000</v>
      </c>
      <c r="P9" s="279">
        <v>6000</v>
      </c>
      <c r="Q9" s="277">
        <v>4505</v>
      </c>
      <c r="R9" s="279">
        <v>4505</v>
      </c>
      <c r="S9" s="277">
        <v>30568</v>
      </c>
      <c r="T9" s="278">
        <v>30568</v>
      </c>
      <c r="U9" s="277">
        <v>211</v>
      </c>
      <c r="V9" s="279">
        <v>211</v>
      </c>
      <c r="W9" s="277">
        <v>4</v>
      </c>
      <c r="X9" s="278">
        <v>4</v>
      </c>
      <c r="Y9" s="277">
        <v>200</v>
      </c>
      <c r="Z9" s="280"/>
    </row>
    <row r="10" spans="1:26" ht="18" customHeight="1">
      <c r="A10" s="518"/>
      <c r="B10" s="518"/>
      <c r="C10" s="233" t="s">
        <v>198</v>
      </c>
      <c r="D10" s="234"/>
      <c r="E10" s="281">
        <v>40</v>
      </c>
      <c r="F10" s="282">
        <v>40</v>
      </c>
      <c r="G10" s="281">
        <v>26890</v>
      </c>
      <c r="H10" s="282">
        <v>26890</v>
      </c>
      <c r="I10" s="281">
        <v>2300</v>
      </c>
      <c r="J10" s="283">
        <v>2300</v>
      </c>
      <c r="K10" s="281">
        <v>246</v>
      </c>
      <c r="L10" s="283">
        <v>246</v>
      </c>
      <c r="M10" s="281">
        <v>10</v>
      </c>
      <c r="N10" s="282">
        <v>10</v>
      </c>
      <c r="O10" s="281">
        <v>4174</v>
      </c>
      <c r="P10" s="283">
        <v>4174</v>
      </c>
      <c r="Q10" s="281">
        <v>4505</v>
      </c>
      <c r="R10" s="283">
        <v>4505</v>
      </c>
      <c r="S10" s="281">
        <v>30568</v>
      </c>
      <c r="T10" s="282">
        <v>30568</v>
      </c>
      <c r="U10" s="281">
        <v>211</v>
      </c>
      <c r="V10" s="283">
        <v>211</v>
      </c>
      <c r="W10" s="281">
        <v>4</v>
      </c>
      <c r="X10" s="283">
        <v>4</v>
      </c>
      <c r="Y10" s="281">
        <v>200</v>
      </c>
      <c r="Z10" s="284"/>
    </row>
    <row r="11" spans="1:26" ht="18" customHeight="1">
      <c r="A11" s="518"/>
      <c r="B11" s="518"/>
      <c r="C11" s="233" t="s">
        <v>199</v>
      </c>
      <c r="D11" s="234"/>
      <c r="E11" s="285">
        <v>0</v>
      </c>
      <c r="F11" s="282">
        <v>0</v>
      </c>
      <c r="G11" s="281">
        <v>0</v>
      </c>
      <c r="H11" s="282">
        <v>0</v>
      </c>
      <c r="I11" s="281">
        <v>0</v>
      </c>
      <c r="J11" s="283">
        <v>0</v>
      </c>
      <c r="K11" s="281">
        <v>0</v>
      </c>
      <c r="L11" s="283">
        <v>0</v>
      </c>
      <c r="M11" s="281">
        <v>0</v>
      </c>
      <c r="N11" s="282">
        <v>0</v>
      </c>
      <c r="O11" s="281">
        <v>0</v>
      </c>
      <c r="P11" s="283">
        <v>0</v>
      </c>
      <c r="Q11" s="281">
        <v>0</v>
      </c>
      <c r="R11" s="283">
        <v>0</v>
      </c>
      <c r="S11" s="281">
        <v>0</v>
      </c>
      <c r="T11" s="282">
        <v>0</v>
      </c>
      <c r="U11" s="281">
        <v>0</v>
      </c>
      <c r="V11" s="283">
        <v>0</v>
      </c>
      <c r="W11" s="282">
        <v>0</v>
      </c>
      <c r="X11" s="283">
        <v>0</v>
      </c>
      <c r="Y11" s="286">
        <v>0</v>
      </c>
      <c r="Z11" s="284"/>
    </row>
    <row r="12" spans="1:26" ht="18" customHeight="1">
      <c r="A12" s="518"/>
      <c r="B12" s="518"/>
      <c r="C12" s="233" t="s">
        <v>200</v>
      </c>
      <c r="D12" s="234"/>
      <c r="E12" s="285">
        <v>0</v>
      </c>
      <c r="F12" s="282">
        <v>0</v>
      </c>
      <c r="G12" s="281">
        <v>3809</v>
      </c>
      <c r="H12" s="282">
        <v>3809</v>
      </c>
      <c r="I12" s="281">
        <v>1070</v>
      </c>
      <c r="J12" s="283">
        <v>1070</v>
      </c>
      <c r="K12" s="281">
        <v>202</v>
      </c>
      <c r="L12" s="283">
        <v>202</v>
      </c>
      <c r="M12" s="281">
        <v>10</v>
      </c>
      <c r="N12" s="282">
        <v>10</v>
      </c>
      <c r="O12" s="281">
        <v>1826</v>
      </c>
      <c r="P12" s="283">
        <v>1826</v>
      </c>
      <c r="Q12" s="281">
        <v>0</v>
      </c>
      <c r="R12" s="283">
        <v>0</v>
      </c>
      <c r="S12" s="281">
        <v>0</v>
      </c>
      <c r="T12" s="282">
        <v>0</v>
      </c>
      <c r="U12" s="281">
        <v>0</v>
      </c>
      <c r="V12" s="283">
        <v>0</v>
      </c>
      <c r="W12" s="282">
        <v>0</v>
      </c>
      <c r="X12" s="283">
        <v>0</v>
      </c>
      <c r="Y12" s="286">
        <v>0</v>
      </c>
      <c r="Z12" s="284"/>
    </row>
    <row r="13" spans="1:26" ht="18" customHeight="1">
      <c r="A13" s="518"/>
      <c r="B13" s="518"/>
      <c r="C13" s="233" t="s">
        <v>201</v>
      </c>
      <c r="D13" s="234"/>
      <c r="E13" s="285">
        <v>0</v>
      </c>
      <c r="F13" s="282">
        <v>0</v>
      </c>
      <c r="G13" s="281">
        <v>0</v>
      </c>
      <c r="H13" s="282">
        <v>0</v>
      </c>
      <c r="I13" s="281">
        <v>0</v>
      </c>
      <c r="J13" s="283">
        <v>0</v>
      </c>
      <c r="K13" s="281">
        <v>0</v>
      </c>
      <c r="L13" s="283">
        <v>0</v>
      </c>
      <c r="M13" s="281">
        <v>0</v>
      </c>
      <c r="N13" s="282">
        <v>0</v>
      </c>
      <c r="O13" s="281">
        <v>0</v>
      </c>
      <c r="P13" s="283">
        <v>0</v>
      </c>
      <c r="Q13" s="281">
        <v>0</v>
      </c>
      <c r="R13" s="283">
        <v>0</v>
      </c>
      <c r="S13" s="281">
        <v>0</v>
      </c>
      <c r="T13" s="282">
        <v>0</v>
      </c>
      <c r="U13" s="281">
        <v>0</v>
      </c>
      <c r="V13" s="283">
        <v>0</v>
      </c>
      <c r="W13" s="282">
        <v>0</v>
      </c>
      <c r="X13" s="283">
        <v>0</v>
      </c>
      <c r="Y13" s="286">
        <v>0</v>
      </c>
      <c r="Z13" s="284"/>
    </row>
    <row r="14" spans="1:26" ht="18" customHeight="1">
      <c r="A14" s="519"/>
      <c r="B14" s="519"/>
      <c r="C14" s="287" t="s">
        <v>79</v>
      </c>
      <c r="D14" s="288"/>
      <c r="E14" s="289">
        <v>0</v>
      </c>
      <c r="F14" s="290">
        <v>0</v>
      </c>
      <c r="G14" s="291">
        <v>0</v>
      </c>
      <c r="H14" s="290">
        <v>0</v>
      </c>
      <c r="I14" s="291">
        <v>0</v>
      </c>
      <c r="J14" s="292">
        <v>0</v>
      </c>
      <c r="K14" s="291">
        <v>42</v>
      </c>
      <c r="L14" s="292">
        <v>42</v>
      </c>
      <c r="M14" s="293">
        <v>0</v>
      </c>
      <c r="N14" s="290">
        <v>0.3</v>
      </c>
      <c r="O14" s="291">
        <v>0</v>
      </c>
      <c r="P14" s="292">
        <v>0</v>
      </c>
      <c r="Q14" s="291">
        <v>0</v>
      </c>
      <c r="R14" s="292">
        <v>0</v>
      </c>
      <c r="S14" s="291">
        <v>0</v>
      </c>
      <c r="T14" s="290">
        <v>0</v>
      </c>
      <c r="U14" s="291">
        <v>0</v>
      </c>
      <c r="V14" s="292">
        <v>0</v>
      </c>
      <c r="W14" s="290">
        <v>0</v>
      </c>
      <c r="X14" s="292">
        <v>0</v>
      </c>
      <c r="Y14" s="294">
        <v>0</v>
      </c>
      <c r="Z14" s="295"/>
    </row>
    <row r="15" spans="1:26" ht="18" customHeight="1">
      <c r="A15" s="517" t="s">
        <v>202</v>
      </c>
      <c r="B15" s="520" t="s">
        <v>203</v>
      </c>
      <c r="C15" s="275" t="s">
        <v>204</v>
      </c>
      <c r="D15" s="276"/>
      <c r="E15" s="296">
        <v>6756</v>
      </c>
      <c r="F15" s="297">
        <v>6077</v>
      </c>
      <c r="G15" s="296">
        <v>3683</v>
      </c>
      <c r="H15" s="297">
        <v>3349</v>
      </c>
      <c r="I15" s="296">
        <v>2563</v>
      </c>
      <c r="J15" s="298">
        <v>2684</v>
      </c>
      <c r="K15" s="296">
        <v>1898</v>
      </c>
      <c r="L15" s="298">
        <v>2277</v>
      </c>
      <c r="M15" s="296">
        <v>1452</v>
      </c>
      <c r="N15" s="297">
        <v>1331</v>
      </c>
      <c r="O15" s="296">
        <v>863</v>
      </c>
      <c r="P15" s="298">
        <v>3396</v>
      </c>
      <c r="Q15" s="296">
        <v>3115</v>
      </c>
      <c r="R15" s="298">
        <v>3117</v>
      </c>
      <c r="S15" s="296">
        <v>6697</v>
      </c>
      <c r="T15" s="297">
        <v>8681</v>
      </c>
      <c r="U15" s="296">
        <f>718-1</f>
        <v>717</v>
      </c>
      <c r="V15" s="298">
        <v>436</v>
      </c>
      <c r="W15" s="296">
        <v>1040</v>
      </c>
      <c r="X15" s="298">
        <v>892</v>
      </c>
      <c r="Y15" s="296">
        <v>159</v>
      </c>
      <c r="Z15" s="299"/>
    </row>
    <row r="16" spans="1:26" ht="18" customHeight="1">
      <c r="A16" s="518"/>
      <c r="B16" s="518"/>
      <c r="C16" s="233" t="s">
        <v>205</v>
      </c>
      <c r="D16" s="234"/>
      <c r="E16" s="300">
        <v>76392</v>
      </c>
      <c r="F16" s="301">
        <v>77746</v>
      </c>
      <c r="G16" s="300">
        <f>12562+1</f>
        <v>12563</v>
      </c>
      <c r="H16" s="301">
        <v>13460</v>
      </c>
      <c r="I16" s="300">
        <v>5541</v>
      </c>
      <c r="J16" s="236">
        <v>5240</v>
      </c>
      <c r="K16" s="300">
        <v>4271</v>
      </c>
      <c r="L16" s="236">
        <v>4134</v>
      </c>
      <c r="M16" s="300">
        <v>1031</v>
      </c>
      <c r="N16" s="301">
        <v>1103</v>
      </c>
      <c r="O16" s="300">
        <v>12834</v>
      </c>
      <c r="P16" s="236">
        <v>13237</v>
      </c>
      <c r="Q16" s="300">
        <v>4181</v>
      </c>
      <c r="R16" s="236">
        <v>3749</v>
      </c>
      <c r="S16" s="300">
        <v>35468</v>
      </c>
      <c r="T16" s="301">
        <v>35307</v>
      </c>
      <c r="U16" s="300">
        <v>14</v>
      </c>
      <c r="V16" s="236">
        <v>17</v>
      </c>
      <c r="W16" s="300">
        <v>138</v>
      </c>
      <c r="X16" s="301">
        <v>145</v>
      </c>
      <c r="Y16" s="300">
        <v>9</v>
      </c>
      <c r="Z16" s="254"/>
    </row>
    <row r="17" spans="1:26" ht="18" customHeight="1">
      <c r="A17" s="518"/>
      <c r="B17" s="518"/>
      <c r="C17" s="233" t="s">
        <v>206</v>
      </c>
      <c r="D17" s="234"/>
      <c r="E17" s="285">
        <v>0</v>
      </c>
      <c r="F17" s="301">
        <v>0</v>
      </c>
      <c r="G17" s="300">
        <v>0</v>
      </c>
      <c r="H17" s="301">
        <v>0</v>
      </c>
      <c r="I17" s="300">
        <v>0</v>
      </c>
      <c r="J17" s="236">
        <v>0</v>
      </c>
      <c r="K17" s="300">
        <v>0</v>
      </c>
      <c r="L17" s="236">
        <v>0</v>
      </c>
      <c r="M17" s="300">
        <v>0</v>
      </c>
      <c r="N17" s="301">
        <v>0</v>
      </c>
      <c r="O17" s="300">
        <v>0</v>
      </c>
      <c r="P17" s="236">
        <v>0</v>
      </c>
      <c r="Q17" s="300">
        <v>0</v>
      </c>
      <c r="R17" s="236">
        <v>0</v>
      </c>
      <c r="S17" s="300">
        <v>0</v>
      </c>
      <c r="T17" s="301">
        <v>0</v>
      </c>
      <c r="U17" s="300">
        <v>0</v>
      </c>
      <c r="V17" s="236">
        <v>0</v>
      </c>
      <c r="W17" s="300">
        <v>0</v>
      </c>
      <c r="X17" s="301">
        <v>0</v>
      </c>
      <c r="Y17" s="300">
        <v>0</v>
      </c>
      <c r="Z17" s="254"/>
    </row>
    <row r="18" spans="1:26" ht="18" customHeight="1">
      <c r="A18" s="518"/>
      <c r="B18" s="519"/>
      <c r="C18" s="287" t="s">
        <v>207</v>
      </c>
      <c r="D18" s="288"/>
      <c r="E18" s="302">
        <f>SUM(E15:E17)</f>
        <v>83148</v>
      </c>
      <c r="F18" s="303">
        <v>83823</v>
      </c>
      <c r="G18" s="302">
        <f>SUM(G15:G17)</f>
        <v>16246</v>
      </c>
      <c r="H18" s="303">
        <v>16809</v>
      </c>
      <c r="I18" s="302">
        <f>SUM(I15:I17)</f>
        <v>8104</v>
      </c>
      <c r="J18" s="303">
        <v>7924</v>
      </c>
      <c r="K18" s="302">
        <f>SUM(K15:K17)</f>
        <v>6169</v>
      </c>
      <c r="L18" s="303">
        <v>6411</v>
      </c>
      <c r="M18" s="302">
        <f>SUM(M15:M17)</f>
        <v>2483</v>
      </c>
      <c r="N18" s="303">
        <v>2434</v>
      </c>
      <c r="O18" s="302">
        <f>SUM(O15:O17)</f>
        <v>13697</v>
      </c>
      <c r="P18" s="303">
        <v>16633</v>
      </c>
      <c r="Q18" s="302">
        <f>SUM(Q15:Q17)</f>
        <v>7296</v>
      </c>
      <c r="R18" s="303">
        <v>6866</v>
      </c>
      <c r="S18" s="302">
        <f>SUM(S15:S17)</f>
        <v>42165</v>
      </c>
      <c r="T18" s="303">
        <v>43988</v>
      </c>
      <c r="U18" s="302">
        <f>SUM(U15:U17)</f>
        <v>731</v>
      </c>
      <c r="V18" s="303">
        <v>453</v>
      </c>
      <c r="W18" s="302">
        <f>SUM(W15:W17)</f>
        <v>1178</v>
      </c>
      <c r="X18" s="303">
        <v>1037</v>
      </c>
      <c r="Y18" s="302">
        <v>168</v>
      </c>
      <c r="Z18" s="304"/>
    </row>
    <row r="19" spans="1:26" ht="18" customHeight="1">
      <c r="A19" s="518"/>
      <c r="B19" s="520" t="s">
        <v>208</v>
      </c>
      <c r="C19" s="275" t="s">
        <v>209</v>
      </c>
      <c r="D19" s="276"/>
      <c r="E19" s="255">
        <v>2162</v>
      </c>
      <c r="F19" s="298">
        <v>2103</v>
      </c>
      <c r="G19" s="255">
        <v>1353</v>
      </c>
      <c r="H19" s="298">
        <v>1390</v>
      </c>
      <c r="I19" s="255">
        <v>930</v>
      </c>
      <c r="J19" s="298">
        <v>1089</v>
      </c>
      <c r="K19" s="255">
        <v>606</v>
      </c>
      <c r="L19" s="298">
        <v>683</v>
      </c>
      <c r="M19" s="255">
        <v>74</v>
      </c>
      <c r="N19" s="298">
        <v>84</v>
      </c>
      <c r="O19" s="255">
        <v>116</v>
      </c>
      <c r="P19" s="298">
        <v>443</v>
      </c>
      <c r="Q19" s="255">
        <v>634</v>
      </c>
      <c r="R19" s="298">
        <v>833</v>
      </c>
      <c r="S19" s="255">
        <v>1879</v>
      </c>
      <c r="T19" s="298">
        <v>2516</v>
      </c>
      <c r="U19" s="255">
        <v>254</v>
      </c>
      <c r="V19" s="298">
        <v>98</v>
      </c>
      <c r="W19" s="255">
        <f>417-1</f>
        <v>416</v>
      </c>
      <c r="X19" s="298">
        <v>312</v>
      </c>
      <c r="Y19" s="255">
        <v>20</v>
      </c>
      <c r="Z19" s="299"/>
    </row>
    <row r="20" spans="1:26" ht="18" customHeight="1">
      <c r="A20" s="518"/>
      <c r="B20" s="518"/>
      <c r="C20" s="233" t="s">
        <v>210</v>
      </c>
      <c r="D20" s="234"/>
      <c r="E20" s="235">
        <v>75487</v>
      </c>
      <c r="F20" s="236">
        <v>76594</v>
      </c>
      <c r="G20" s="235">
        <v>10694</v>
      </c>
      <c r="H20" s="236">
        <v>11517</v>
      </c>
      <c r="I20" s="235">
        <v>18200</v>
      </c>
      <c r="J20" s="236">
        <v>18544</v>
      </c>
      <c r="K20" s="235">
        <v>3367</v>
      </c>
      <c r="L20" s="236">
        <v>3642</v>
      </c>
      <c r="M20" s="235">
        <v>243</v>
      </c>
      <c r="N20" s="236">
        <v>248</v>
      </c>
      <c r="O20" s="235">
        <v>2367</v>
      </c>
      <c r="P20" s="236">
        <v>5366</v>
      </c>
      <c r="Q20" s="235">
        <v>29</v>
      </c>
      <c r="R20" s="236">
        <v>19</v>
      </c>
      <c r="S20" s="235">
        <v>8531</v>
      </c>
      <c r="T20" s="236">
        <v>9365</v>
      </c>
      <c r="U20" s="235">
        <v>88</v>
      </c>
      <c r="V20" s="236">
        <v>79</v>
      </c>
      <c r="W20" s="235">
        <v>180</v>
      </c>
      <c r="X20" s="236">
        <v>172</v>
      </c>
      <c r="Y20" s="300">
        <v>0</v>
      </c>
      <c r="Z20" s="254"/>
    </row>
    <row r="21" spans="1:26" ht="18" customHeight="1">
      <c r="A21" s="518"/>
      <c r="B21" s="518"/>
      <c r="C21" s="233" t="s">
        <v>211</v>
      </c>
      <c r="D21" s="234"/>
      <c r="E21" s="253">
        <v>0</v>
      </c>
      <c r="F21" s="236">
        <v>0</v>
      </c>
      <c r="G21" s="235">
        <v>0</v>
      </c>
      <c r="H21" s="236">
        <v>0</v>
      </c>
      <c r="I21" s="235">
        <v>0</v>
      </c>
      <c r="J21" s="236">
        <v>0</v>
      </c>
      <c r="K21" s="235">
        <v>0</v>
      </c>
      <c r="L21" s="236">
        <v>0</v>
      </c>
      <c r="M21" s="235">
        <v>0</v>
      </c>
      <c r="N21" s="236">
        <v>0</v>
      </c>
      <c r="O21" s="235">
        <v>0</v>
      </c>
      <c r="P21" s="236">
        <v>0</v>
      </c>
      <c r="Q21" s="235">
        <v>0</v>
      </c>
      <c r="R21" s="236">
        <v>0</v>
      </c>
      <c r="S21" s="235">
        <v>0</v>
      </c>
      <c r="T21" s="236">
        <v>0</v>
      </c>
      <c r="U21" s="235">
        <v>0</v>
      </c>
      <c r="V21" s="236">
        <v>0</v>
      </c>
      <c r="W21" s="235">
        <v>0</v>
      </c>
      <c r="X21" s="236">
        <v>0</v>
      </c>
      <c r="Y21" s="300">
        <v>0</v>
      </c>
      <c r="Z21" s="254"/>
    </row>
    <row r="22" spans="1:26" ht="18" customHeight="1">
      <c r="A22" s="518"/>
      <c r="B22" s="519"/>
      <c r="C22" s="305" t="s">
        <v>212</v>
      </c>
      <c r="D22" s="306"/>
      <c r="E22" s="302">
        <f>SUM(E19:E21)</f>
        <v>77649</v>
      </c>
      <c r="F22" s="307">
        <v>78697</v>
      </c>
      <c r="G22" s="302">
        <f>SUM(G19:G21)</f>
        <v>12047</v>
      </c>
      <c r="H22" s="307">
        <v>12907</v>
      </c>
      <c r="I22" s="302">
        <f>SUM(I19:I21)</f>
        <v>19130</v>
      </c>
      <c r="J22" s="307">
        <v>19633</v>
      </c>
      <c r="K22" s="302">
        <f>SUM(K19:K21)</f>
        <v>3973</v>
      </c>
      <c r="L22" s="307">
        <v>4325</v>
      </c>
      <c r="M22" s="302">
        <f>SUM(M19:M21)</f>
        <v>317</v>
      </c>
      <c r="N22" s="307">
        <v>332</v>
      </c>
      <c r="O22" s="302">
        <f>SUM(O19:O21)</f>
        <v>2483</v>
      </c>
      <c r="P22" s="307">
        <v>5809</v>
      </c>
      <c r="Q22" s="302">
        <f>SUM(Q19:Q21)</f>
        <v>663</v>
      </c>
      <c r="R22" s="307">
        <v>852</v>
      </c>
      <c r="S22" s="302">
        <f>SUM(S19:S21)</f>
        <v>10410</v>
      </c>
      <c r="T22" s="307">
        <v>11881</v>
      </c>
      <c r="U22" s="302">
        <f>SUM(U19:U21)</f>
        <v>342</v>
      </c>
      <c r="V22" s="307">
        <v>177</v>
      </c>
      <c r="W22" s="302">
        <f>SUM(W19:W21)</f>
        <v>596</v>
      </c>
      <c r="X22" s="307">
        <v>484</v>
      </c>
      <c r="Y22" s="308">
        <v>20</v>
      </c>
      <c r="Z22" s="309"/>
    </row>
    <row r="23" spans="1:26" ht="18" customHeight="1">
      <c r="A23" s="518"/>
      <c r="B23" s="520" t="s">
        <v>213</v>
      </c>
      <c r="C23" s="275" t="s">
        <v>214</v>
      </c>
      <c r="D23" s="276"/>
      <c r="E23" s="255">
        <v>40</v>
      </c>
      <c r="F23" s="298">
        <v>40</v>
      </c>
      <c r="G23" s="255">
        <v>100</v>
      </c>
      <c r="H23" s="298">
        <v>100</v>
      </c>
      <c r="I23" s="255">
        <v>100</v>
      </c>
      <c r="J23" s="298">
        <v>100</v>
      </c>
      <c r="K23" s="255">
        <v>490</v>
      </c>
      <c r="L23" s="298">
        <v>490</v>
      </c>
      <c r="M23" s="255">
        <v>20</v>
      </c>
      <c r="N23" s="298">
        <v>20</v>
      </c>
      <c r="O23" s="255">
        <v>5000</v>
      </c>
      <c r="P23" s="298">
        <v>5000</v>
      </c>
      <c r="Q23" s="255">
        <v>90</v>
      </c>
      <c r="R23" s="298">
        <v>90</v>
      </c>
      <c r="S23" s="255">
        <v>16035</v>
      </c>
      <c r="T23" s="298">
        <v>16035</v>
      </c>
      <c r="U23" s="255">
        <v>85</v>
      </c>
      <c r="V23" s="298">
        <v>85</v>
      </c>
      <c r="W23" s="255">
        <v>10</v>
      </c>
      <c r="X23" s="298">
        <v>10</v>
      </c>
      <c r="Y23" s="255">
        <v>100</v>
      </c>
      <c r="Z23" s="299"/>
    </row>
    <row r="24" spans="1:26" ht="18" customHeight="1">
      <c r="A24" s="518"/>
      <c r="B24" s="518"/>
      <c r="C24" s="233" t="s">
        <v>215</v>
      </c>
      <c r="D24" s="234"/>
      <c r="E24" s="235">
        <v>5459</v>
      </c>
      <c r="F24" s="236">
        <v>5086</v>
      </c>
      <c r="G24" s="235">
        <v>4074</v>
      </c>
      <c r="H24" s="236">
        <v>3777</v>
      </c>
      <c r="I24" s="235">
        <v>-11126</v>
      </c>
      <c r="J24" s="236">
        <v>-11809</v>
      </c>
      <c r="K24" s="235">
        <v>1573</v>
      </c>
      <c r="L24" s="236">
        <v>1463</v>
      </c>
      <c r="M24" s="235">
        <v>2141</v>
      </c>
      <c r="N24" s="236">
        <v>2077</v>
      </c>
      <c r="O24" s="235">
        <v>5186</v>
      </c>
      <c r="P24" s="236">
        <v>4796</v>
      </c>
      <c r="Q24" s="235">
        <v>2128</v>
      </c>
      <c r="R24" s="236">
        <v>1509</v>
      </c>
      <c r="S24" s="235">
        <v>1157</v>
      </c>
      <c r="T24" s="236">
        <v>1509</v>
      </c>
      <c r="U24" s="235">
        <f>179-1</f>
        <v>178</v>
      </c>
      <c r="V24" s="236">
        <v>65</v>
      </c>
      <c r="W24" s="235">
        <v>569</v>
      </c>
      <c r="X24" s="236">
        <v>540</v>
      </c>
      <c r="Y24" s="235">
        <v>-52</v>
      </c>
      <c r="Z24" s="254"/>
    </row>
    <row r="25" spans="1:26" ht="18" customHeight="1">
      <c r="A25" s="518"/>
      <c r="B25" s="518"/>
      <c r="C25" s="233" t="s">
        <v>216</v>
      </c>
      <c r="D25" s="234"/>
      <c r="E25" s="253">
        <v>0</v>
      </c>
      <c r="F25" s="236">
        <v>0</v>
      </c>
      <c r="G25" s="235">
        <v>25</v>
      </c>
      <c r="H25" s="236">
        <v>25</v>
      </c>
      <c r="I25" s="235">
        <v>0</v>
      </c>
      <c r="J25" s="236">
        <v>0</v>
      </c>
      <c r="K25" s="235">
        <v>133</v>
      </c>
      <c r="L25" s="236">
        <v>133</v>
      </c>
      <c r="M25" s="235">
        <v>5</v>
      </c>
      <c r="N25" s="236">
        <v>5</v>
      </c>
      <c r="O25" s="235">
        <v>1027</v>
      </c>
      <c r="P25" s="236">
        <v>1027</v>
      </c>
      <c r="Q25" s="235">
        <v>4415</v>
      </c>
      <c r="R25" s="236">
        <v>4415</v>
      </c>
      <c r="S25" s="235">
        <v>14563</v>
      </c>
      <c r="T25" s="236">
        <v>14563</v>
      </c>
      <c r="U25" s="235">
        <v>126</v>
      </c>
      <c r="V25" s="236">
        <v>126</v>
      </c>
      <c r="W25" s="235">
        <v>3</v>
      </c>
      <c r="X25" s="236">
        <v>3</v>
      </c>
      <c r="Y25" s="235">
        <v>100</v>
      </c>
      <c r="Z25" s="254"/>
    </row>
    <row r="26" spans="1:26" ht="18" customHeight="1">
      <c r="A26" s="518"/>
      <c r="B26" s="519"/>
      <c r="C26" s="310" t="s">
        <v>217</v>
      </c>
      <c r="D26" s="311"/>
      <c r="E26" s="312">
        <f>SUM(E23:E25)</f>
        <v>5499</v>
      </c>
      <c r="F26" s="307">
        <v>5126</v>
      </c>
      <c r="G26" s="313">
        <f>SUM(G23:G25)</f>
        <v>4199</v>
      </c>
      <c r="H26" s="307">
        <v>3902</v>
      </c>
      <c r="I26" s="312">
        <f>SUM(I23:I25)</f>
        <v>-11026</v>
      </c>
      <c r="J26" s="307">
        <v>-11709</v>
      </c>
      <c r="K26" s="312">
        <f>SUM(K23:K25)</f>
        <v>2196</v>
      </c>
      <c r="L26" s="307">
        <v>2086</v>
      </c>
      <c r="M26" s="313">
        <f>SUM(M23:M25)</f>
        <v>2166</v>
      </c>
      <c r="N26" s="307">
        <v>2102</v>
      </c>
      <c r="O26" s="312">
        <f>SUM(O23:O25)</f>
        <v>11213</v>
      </c>
      <c r="P26" s="307">
        <v>10823</v>
      </c>
      <c r="Q26" s="312">
        <f>SUM(Q23:Q25)</f>
        <v>6633</v>
      </c>
      <c r="R26" s="307">
        <v>6014</v>
      </c>
      <c r="S26" s="313">
        <f>SUM(S23:S25)</f>
        <v>31755</v>
      </c>
      <c r="T26" s="307">
        <v>32107</v>
      </c>
      <c r="U26" s="312">
        <f>SUM(U23:U25)</f>
        <v>389</v>
      </c>
      <c r="V26" s="307">
        <v>276</v>
      </c>
      <c r="W26" s="313">
        <f>SUM(W23:W25)</f>
        <v>582</v>
      </c>
      <c r="X26" s="307">
        <v>553</v>
      </c>
      <c r="Y26" s="312">
        <v>148</v>
      </c>
      <c r="Z26" s="309"/>
    </row>
    <row r="27" spans="1:26" ht="18" customHeight="1">
      <c r="A27" s="519"/>
      <c r="B27" s="287" t="s">
        <v>218</v>
      </c>
      <c r="C27" s="288"/>
      <c r="D27" s="288"/>
      <c r="E27" s="314">
        <f>+E22+E26</f>
        <v>83148</v>
      </c>
      <c r="F27" s="307">
        <v>83823</v>
      </c>
      <c r="G27" s="314">
        <f>+G22+G26</f>
        <v>16246</v>
      </c>
      <c r="H27" s="307">
        <v>16809</v>
      </c>
      <c r="I27" s="302">
        <f>+I22+I26</f>
        <v>8104</v>
      </c>
      <c r="J27" s="307">
        <v>7924</v>
      </c>
      <c r="K27" s="302">
        <f>+K22+K26</f>
        <v>6169</v>
      </c>
      <c r="L27" s="307">
        <v>6411</v>
      </c>
      <c r="M27" s="314">
        <f>+M22+M26</f>
        <v>2483</v>
      </c>
      <c r="N27" s="307">
        <v>2434</v>
      </c>
      <c r="O27" s="302">
        <f>+O22+O26</f>
        <v>13696</v>
      </c>
      <c r="P27" s="307">
        <v>16632</v>
      </c>
      <c r="Q27" s="302">
        <f>+Q22+Q26</f>
        <v>7296</v>
      </c>
      <c r="R27" s="307">
        <v>6866</v>
      </c>
      <c r="S27" s="314">
        <f>+S22+S26</f>
        <v>42165</v>
      </c>
      <c r="T27" s="307">
        <v>43988</v>
      </c>
      <c r="U27" s="302">
        <f>+U22+U26</f>
        <v>731</v>
      </c>
      <c r="V27" s="307">
        <v>453</v>
      </c>
      <c r="W27" s="314">
        <f>+W22+W26</f>
        <v>1178</v>
      </c>
      <c r="X27" s="307">
        <v>1037</v>
      </c>
      <c r="Y27" s="302">
        <v>168</v>
      </c>
      <c r="Z27" s="309"/>
    </row>
    <row r="28" spans="1:26" ht="18" customHeight="1">
      <c r="A28" s="520" t="s">
        <v>219</v>
      </c>
      <c r="B28" s="520" t="s">
        <v>220</v>
      </c>
      <c r="C28" s="275" t="s">
        <v>221</v>
      </c>
      <c r="D28" s="315" t="s">
        <v>37</v>
      </c>
      <c r="E28" s="255">
        <v>11850</v>
      </c>
      <c r="F28" s="298">
        <v>12356</v>
      </c>
      <c r="G28" s="255">
        <v>2135</v>
      </c>
      <c r="H28" s="298">
        <v>2168</v>
      </c>
      <c r="I28" s="255">
        <v>1498</v>
      </c>
      <c r="J28" s="298">
        <v>1551</v>
      </c>
      <c r="K28" s="255">
        <f>3074+1</f>
        <v>3075</v>
      </c>
      <c r="L28" s="298">
        <v>3143</v>
      </c>
      <c r="M28" s="255">
        <v>772</v>
      </c>
      <c r="N28" s="298">
        <v>767</v>
      </c>
      <c r="O28" s="255">
        <v>1780</v>
      </c>
      <c r="P28" s="298">
        <v>1797</v>
      </c>
      <c r="Q28" s="255">
        <f>2184-1</f>
        <v>2183</v>
      </c>
      <c r="R28" s="298">
        <v>1680</v>
      </c>
      <c r="S28" s="255">
        <v>2702</v>
      </c>
      <c r="T28" s="298">
        <v>2684</v>
      </c>
      <c r="U28" s="255">
        <v>1339</v>
      </c>
      <c r="V28" s="298">
        <v>963</v>
      </c>
      <c r="W28" s="255">
        <v>3005</v>
      </c>
      <c r="X28" s="298">
        <v>2740</v>
      </c>
      <c r="Y28" s="255">
        <v>0</v>
      </c>
      <c r="Z28" s="299"/>
    </row>
    <row r="29" spans="1:26" ht="18" customHeight="1">
      <c r="A29" s="518"/>
      <c r="B29" s="518"/>
      <c r="C29" s="233" t="s">
        <v>222</v>
      </c>
      <c r="D29" s="316" t="s">
        <v>38</v>
      </c>
      <c r="E29" s="235">
        <v>11902</v>
      </c>
      <c r="F29" s="236">
        <v>12204</v>
      </c>
      <c r="G29" s="235">
        <v>1658</v>
      </c>
      <c r="H29" s="236">
        <v>1699</v>
      </c>
      <c r="I29" s="235">
        <v>952</v>
      </c>
      <c r="J29" s="236">
        <v>1071</v>
      </c>
      <c r="K29" s="235">
        <v>2523</v>
      </c>
      <c r="L29" s="236">
        <v>2633</v>
      </c>
      <c r="M29" s="235">
        <v>603</v>
      </c>
      <c r="N29" s="236">
        <v>600</v>
      </c>
      <c r="O29" s="235">
        <v>993</v>
      </c>
      <c r="P29" s="236">
        <v>1011</v>
      </c>
      <c r="Q29" s="235">
        <v>1082</v>
      </c>
      <c r="R29" s="236">
        <v>985</v>
      </c>
      <c r="S29" s="235">
        <v>2676</v>
      </c>
      <c r="T29" s="236">
        <v>2194</v>
      </c>
      <c r="U29" s="235">
        <v>1086</v>
      </c>
      <c r="V29" s="236">
        <v>752</v>
      </c>
      <c r="W29" s="235">
        <v>2826</v>
      </c>
      <c r="X29" s="236">
        <v>2586</v>
      </c>
      <c r="Y29" s="235">
        <v>0</v>
      </c>
      <c r="Z29" s="254"/>
    </row>
    <row r="30" spans="1:26" ht="18" customHeight="1">
      <c r="A30" s="518"/>
      <c r="B30" s="518"/>
      <c r="C30" s="233" t="s">
        <v>223</v>
      </c>
      <c r="D30" s="316" t="s">
        <v>269</v>
      </c>
      <c r="E30" s="235">
        <v>223</v>
      </c>
      <c r="F30" s="236">
        <v>220</v>
      </c>
      <c r="G30" s="235">
        <v>126</v>
      </c>
      <c r="H30" s="236">
        <v>138</v>
      </c>
      <c r="I30" s="300">
        <v>64</v>
      </c>
      <c r="J30" s="236">
        <v>57</v>
      </c>
      <c r="K30" s="300">
        <v>288</v>
      </c>
      <c r="L30" s="236">
        <v>264</v>
      </c>
      <c r="M30" s="235">
        <v>64</v>
      </c>
      <c r="N30" s="236">
        <v>56</v>
      </c>
      <c r="O30" s="235">
        <v>144</v>
      </c>
      <c r="P30" s="236">
        <v>132</v>
      </c>
      <c r="Q30" s="300">
        <v>104</v>
      </c>
      <c r="R30" s="236">
        <v>91</v>
      </c>
      <c r="S30" s="235">
        <f>219-1</f>
        <v>218</v>
      </c>
      <c r="T30" s="236">
        <v>201</v>
      </c>
      <c r="U30" s="235">
        <v>140</v>
      </c>
      <c r="V30" s="236">
        <v>133</v>
      </c>
      <c r="W30" s="235">
        <v>143</v>
      </c>
      <c r="X30" s="236">
        <v>139</v>
      </c>
      <c r="Y30" s="235">
        <v>50</v>
      </c>
      <c r="Z30" s="254"/>
    </row>
    <row r="31" spans="1:27" ht="18" customHeight="1">
      <c r="A31" s="518"/>
      <c r="B31" s="518"/>
      <c r="C31" s="305" t="s">
        <v>224</v>
      </c>
      <c r="D31" s="317" t="s">
        <v>270</v>
      </c>
      <c r="E31" s="302">
        <f>E28-E29-E30</f>
        <v>-275</v>
      </c>
      <c r="F31" s="303">
        <v>-68</v>
      </c>
      <c r="G31" s="302">
        <f>G28-G29-G30</f>
        <v>351</v>
      </c>
      <c r="H31" s="318">
        <v>331</v>
      </c>
      <c r="I31" s="302">
        <f>I28-I29-I30</f>
        <v>482</v>
      </c>
      <c r="J31" s="303">
        <v>423</v>
      </c>
      <c r="K31" s="302">
        <f>K28-K29-K30</f>
        <v>264</v>
      </c>
      <c r="L31" s="303">
        <v>246</v>
      </c>
      <c r="M31" s="302">
        <f>M28-M29-M30</f>
        <v>105</v>
      </c>
      <c r="N31" s="318">
        <v>111</v>
      </c>
      <c r="O31" s="302">
        <f>O28-O29-O30</f>
        <v>643</v>
      </c>
      <c r="P31" s="318">
        <v>654</v>
      </c>
      <c r="Q31" s="302">
        <f>Q28-Q29-Q30</f>
        <v>997</v>
      </c>
      <c r="R31" s="303">
        <v>604</v>
      </c>
      <c r="S31" s="302">
        <f>S28-S29-S30</f>
        <v>-192</v>
      </c>
      <c r="T31" s="318">
        <v>289</v>
      </c>
      <c r="U31" s="302">
        <f>U28-U29-U30</f>
        <v>113</v>
      </c>
      <c r="V31" s="318">
        <v>78</v>
      </c>
      <c r="W31" s="302">
        <f>W28-W29-W30</f>
        <v>36</v>
      </c>
      <c r="X31" s="318">
        <v>15</v>
      </c>
      <c r="Y31" s="302">
        <v>-50</v>
      </c>
      <c r="Z31" s="304"/>
      <c r="AA31" s="319"/>
    </row>
    <row r="32" spans="1:26" ht="18" customHeight="1">
      <c r="A32" s="518"/>
      <c r="B32" s="518"/>
      <c r="C32" s="275" t="s">
        <v>225</v>
      </c>
      <c r="D32" s="315" t="s">
        <v>271</v>
      </c>
      <c r="E32" s="255">
        <v>17</v>
      </c>
      <c r="F32" s="298">
        <v>13</v>
      </c>
      <c r="G32" s="255">
        <v>13</v>
      </c>
      <c r="H32" s="298">
        <v>19</v>
      </c>
      <c r="I32" s="255">
        <v>10</v>
      </c>
      <c r="J32" s="298">
        <v>12</v>
      </c>
      <c r="K32" s="255">
        <v>12</v>
      </c>
      <c r="L32" s="298">
        <v>18</v>
      </c>
      <c r="M32" s="255">
        <v>2</v>
      </c>
      <c r="N32" s="298">
        <v>2</v>
      </c>
      <c r="O32" s="255">
        <v>11</v>
      </c>
      <c r="P32" s="298">
        <v>9</v>
      </c>
      <c r="Q32" s="255">
        <v>14</v>
      </c>
      <c r="R32" s="298">
        <v>16</v>
      </c>
      <c r="S32" s="255">
        <f>26-1</f>
        <v>25</v>
      </c>
      <c r="T32" s="298">
        <v>25</v>
      </c>
      <c r="U32" s="255">
        <v>2</v>
      </c>
      <c r="V32" s="298">
        <v>1</v>
      </c>
      <c r="W32" s="255">
        <v>1</v>
      </c>
      <c r="X32" s="298">
        <v>2</v>
      </c>
      <c r="Y32" s="320">
        <v>0</v>
      </c>
      <c r="Z32" s="299"/>
    </row>
    <row r="33" spans="1:26" ht="18" customHeight="1">
      <c r="A33" s="518"/>
      <c r="B33" s="518"/>
      <c r="C33" s="233" t="s">
        <v>226</v>
      </c>
      <c r="D33" s="316" t="s">
        <v>272</v>
      </c>
      <c r="E33" s="235">
        <f>108-1</f>
        <v>107</v>
      </c>
      <c r="F33" s="236">
        <v>90</v>
      </c>
      <c r="G33" s="235">
        <f>43-1</f>
        <v>42</v>
      </c>
      <c r="H33" s="236">
        <v>44</v>
      </c>
      <c r="I33" s="235">
        <v>68</v>
      </c>
      <c r="J33" s="236">
        <v>68</v>
      </c>
      <c r="K33" s="235">
        <v>56</v>
      </c>
      <c r="L33" s="236">
        <v>62</v>
      </c>
      <c r="M33" s="235">
        <v>0.02</v>
      </c>
      <c r="N33" s="236">
        <v>0</v>
      </c>
      <c r="O33" s="235">
        <v>147</v>
      </c>
      <c r="P33" s="236">
        <v>54</v>
      </c>
      <c r="Q33" s="235">
        <v>0</v>
      </c>
      <c r="R33" s="236">
        <v>2</v>
      </c>
      <c r="S33" s="235">
        <v>134</v>
      </c>
      <c r="T33" s="236">
        <v>147</v>
      </c>
      <c r="U33" s="235">
        <v>0.05</v>
      </c>
      <c r="V33" s="236">
        <v>0</v>
      </c>
      <c r="W33" s="235">
        <v>0</v>
      </c>
      <c r="X33" s="236">
        <v>0</v>
      </c>
      <c r="Y33" s="321">
        <v>2</v>
      </c>
      <c r="Z33" s="254"/>
    </row>
    <row r="34" spans="1:26" ht="18" customHeight="1">
      <c r="A34" s="518"/>
      <c r="B34" s="519"/>
      <c r="C34" s="305" t="s">
        <v>227</v>
      </c>
      <c r="D34" s="317" t="s">
        <v>273</v>
      </c>
      <c r="E34" s="302">
        <f>E31+E32-E33</f>
        <v>-365</v>
      </c>
      <c r="F34" s="307">
        <v>-145</v>
      </c>
      <c r="G34" s="302">
        <f>G31+G32-G33</f>
        <v>322</v>
      </c>
      <c r="H34" s="307">
        <v>306</v>
      </c>
      <c r="I34" s="302">
        <f>I31+I32-I33</f>
        <v>424</v>
      </c>
      <c r="J34" s="307">
        <v>367</v>
      </c>
      <c r="K34" s="302">
        <f>K31+K32-K33</f>
        <v>220</v>
      </c>
      <c r="L34" s="307">
        <v>202</v>
      </c>
      <c r="M34" s="302">
        <f>M31+M32-M33</f>
        <v>106.98</v>
      </c>
      <c r="N34" s="307">
        <v>113</v>
      </c>
      <c r="O34" s="302">
        <f>O31+O32-O33</f>
        <v>507</v>
      </c>
      <c r="P34" s="307">
        <v>609</v>
      </c>
      <c r="Q34" s="302">
        <f>Q31+Q32-Q33</f>
        <v>1011</v>
      </c>
      <c r="R34" s="307">
        <v>618</v>
      </c>
      <c r="S34" s="302">
        <f>S31+S32-S33</f>
        <v>-301</v>
      </c>
      <c r="T34" s="307">
        <v>167</v>
      </c>
      <c r="U34" s="302">
        <f>U31+U32-U33</f>
        <v>114.95</v>
      </c>
      <c r="V34" s="307">
        <v>79</v>
      </c>
      <c r="W34" s="302">
        <f>W31+W32-W33</f>
        <v>37</v>
      </c>
      <c r="X34" s="307">
        <v>17</v>
      </c>
      <c r="Y34" s="302">
        <v>-52</v>
      </c>
      <c r="Z34" s="309"/>
    </row>
    <row r="35" spans="1:26" ht="18" customHeight="1">
      <c r="A35" s="518"/>
      <c r="B35" s="520" t="s">
        <v>228</v>
      </c>
      <c r="C35" s="275" t="s">
        <v>229</v>
      </c>
      <c r="D35" s="315" t="s">
        <v>274</v>
      </c>
      <c r="E35" s="255">
        <v>1014</v>
      </c>
      <c r="F35" s="298">
        <v>446</v>
      </c>
      <c r="G35" s="255">
        <v>0</v>
      </c>
      <c r="H35" s="298">
        <v>0</v>
      </c>
      <c r="I35" s="255">
        <v>0</v>
      </c>
      <c r="J35" s="298">
        <v>0</v>
      </c>
      <c r="K35" s="255">
        <v>7</v>
      </c>
      <c r="L35" s="298">
        <v>3</v>
      </c>
      <c r="M35" s="255">
        <v>0</v>
      </c>
      <c r="N35" s="298">
        <v>10</v>
      </c>
      <c r="O35" s="255">
        <v>18</v>
      </c>
      <c r="P35" s="298">
        <v>0</v>
      </c>
      <c r="Q35" s="255">
        <v>0</v>
      </c>
      <c r="R35" s="298">
        <v>0</v>
      </c>
      <c r="S35" s="255">
        <v>0</v>
      </c>
      <c r="T35" s="298">
        <v>832</v>
      </c>
      <c r="U35" s="255">
        <v>0</v>
      </c>
      <c r="V35" s="298">
        <v>0</v>
      </c>
      <c r="W35" s="255">
        <v>0</v>
      </c>
      <c r="X35" s="298">
        <v>0</v>
      </c>
      <c r="Y35" s="255">
        <v>0</v>
      </c>
      <c r="Z35" s="299"/>
    </row>
    <row r="36" spans="1:26" ht="18" customHeight="1">
      <c r="A36" s="518"/>
      <c r="B36" s="518"/>
      <c r="C36" s="233" t="s">
        <v>230</v>
      </c>
      <c r="D36" s="316" t="s">
        <v>275</v>
      </c>
      <c r="E36" s="235">
        <v>276</v>
      </c>
      <c r="F36" s="236">
        <v>0</v>
      </c>
      <c r="G36" s="235">
        <v>25</v>
      </c>
      <c r="H36" s="236">
        <v>27</v>
      </c>
      <c r="I36" s="235">
        <v>26</v>
      </c>
      <c r="J36" s="236">
        <v>32</v>
      </c>
      <c r="K36" s="235">
        <v>99</v>
      </c>
      <c r="L36" s="236">
        <v>11</v>
      </c>
      <c r="M36" s="235">
        <v>0</v>
      </c>
      <c r="N36" s="236">
        <v>0</v>
      </c>
      <c r="O36" s="235">
        <v>3</v>
      </c>
      <c r="P36" s="236">
        <v>428</v>
      </c>
      <c r="Q36" s="235">
        <v>0</v>
      </c>
      <c r="R36" s="236">
        <v>0</v>
      </c>
      <c r="S36" s="235">
        <v>0</v>
      </c>
      <c r="T36" s="236">
        <v>0</v>
      </c>
      <c r="U36" s="235">
        <v>0</v>
      </c>
      <c r="V36" s="236">
        <v>30</v>
      </c>
      <c r="W36" s="235">
        <v>0</v>
      </c>
      <c r="X36" s="236">
        <v>8</v>
      </c>
      <c r="Y36" s="235">
        <v>0</v>
      </c>
      <c r="Z36" s="254"/>
    </row>
    <row r="37" spans="1:26" ht="18" customHeight="1">
      <c r="A37" s="518"/>
      <c r="B37" s="518"/>
      <c r="C37" s="233" t="s">
        <v>231</v>
      </c>
      <c r="D37" s="316" t="s">
        <v>276</v>
      </c>
      <c r="E37" s="235">
        <f>E34+E35-E36</f>
        <v>373</v>
      </c>
      <c r="F37" s="236">
        <v>301</v>
      </c>
      <c r="G37" s="235">
        <f>G34+G35-G36</f>
        <v>297</v>
      </c>
      <c r="H37" s="236">
        <v>279</v>
      </c>
      <c r="I37" s="235">
        <f>I34+I35-I36</f>
        <v>398</v>
      </c>
      <c r="J37" s="236">
        <v>335</v>
      </c>
      <c r="K37" s="235">
        <f>K34+K35-K36</f>
        <v>128</v>
      </c>
      <c r="L37" s="236">
        <v>194</v>
      </c>
      <c r="M37" s="235">
        <f>M34+M35-M36</f>
        <v>106.98</v>
      </c>
      <c r="N37" s="236">
        <v>123</v>
      </c>
      <c r="O37" s="235">
        <f>O34+O35-O36</f>
        <v>522</v>
      </c>
      <c r="P37" s="236">
        <v>181</v>
      </c>
      <c r="Q37" s="235">
        <f>Q34+Q35-Q36</f>
        <v>1011</v>
      </c>
      <c r="R37" s="236">
        <v>618</v>
      </c>
      <c r="S37" s="235">
        <f>S34+S35-S36</f>
        <v>-301</v>
      </c>
      <c r="T37" s="236">
        <v>999</v>
      </c>
      <c r="U37" s="235">
        <f>U34+U35-U36</f>
        <v>114.95</v>
      </c>
      <c r="V37" s="236">
        <v>49</v>
      </c>
      <c r="W37" s="235">
        <f>W34+W35-W36</f>
        <v>37</v>
      </c>
      <c r="X37" s="236">
        <v>9</v>
      </c>
      <c r="Y37" s="235">
        <v>-52</v>
      </c>
      <c r="Z37" s="254"/>
    </row>
    <row r="38" spans="1:26" ht="18" customHeight="1">
      <c r="A38" s="518"/>
      <c r="B38" s="518"/>
      <c r="C38" s="233" t="s">
        <v>232</v>
      </c>
      <c r="D38" s="316" t="s">
        <v>277</v>
      </c>
      <c r="E38" s="253">
        <v>0</v>
      </c>
      <c r="F38" s="236">
        <v>0</v>
      </c>
      <c r="G38" s="235">
        <v>0</v>
      </c>
      <c r="H38" s="236">
        <v>0</v>
      </c>
      <c r="I38" s="235">
        <v>0</v>
      </c>
      <c r="J38" s="236">
        <v>0</v>
      </c>
      <c r="K38" s="235">
        <v>0</v>
      </c>
      <c r="L38" s="236">
        <v>0</v>
      </c>
      <c r="M38" s="235">
        <v>0</v>
      </c>
      <c r="N38" s="236">
        <v>0</v>
      </c>
      <c r="O38" s="235">
        <v>0</v>
      </c>
      <c r="P38" s="236">
        <v>0</v>
      </c>
      <c r="Q38" s="235">
        <v>0</v>
      </c>
      <c r="R38" s="236">
        <v>0</v>
      </c>
      <c r="S38" s="235">
        <v>0</v>
      </c>
      <c r="T38" s="236">
        <v>0</v>
      </c>
      <c r="U38" s="235">
        <v>0</v>
      </c>
      <c r="V38" s="236">
        <v>0</v>
      </c>
      <c r="W38" s="235">
        <v>0</v>
      </c>
      <c r="X38" s="236">
        <v>0</v>
      </c>
      <c r="Y38" s="235">
        <v>0</v>
      </c>
      <c r="Z38" s="254"/>
    </row>
    <row r="39" spans="1:26" ht="18" customHeight="1">
      <c r="A39" s="518"/>
      <c r="B39" s="518"/>
      <c r="C39" s="233" t="s">
        <v>233</v>
      </c>
      <c r="D39" s="316" t="s">
        <v>278</v>
      </c>
      <c r="E39" s="253">
        <v>0</v>
      </c>
      <c r="F39" s="236">
        <v>0</v>
      </c>
      <c r="G39" s="235">
        <v>0</v>
      </c>
      <c r="H39" s="236">
        <v>0</v>
      </c>
      <c r="I39" s="235">
        <v>0</v>
      </c>
      <c r="J39" s="236">
        <v>0</v>
      </c>
      <c r="K39" s="235">
        <v>0</v>
      </c>
      <c r="L39" s="236">
        <v>0</v>
      </c>
      <c r="M39" s="235">
        <v>0</v>
      </c>
      <c r="N39" s="236">
        <v>0</v>
      </c>
      <c r="O39" s="235">
        <v>0</v>
      </c>
      <c r="P39" s="236">
        <v>0</v>
      </c>
      <c r="Q39" s="235">
        <v>0</v>
      </c>
      <c r="R39" s="236">
        <v>0</v>
      </c>
      <c r="S39" s="235">
        <v>0</v>
      </c>
      <c r="T39" s="236">
        <v>0</v>
      </c>
      <c r="U39" s="235">
        <v>0</v>
      </c>
      <c r="V39" s="236">
        <v>0</v>
      </c>
      <c r="W39" s="235">
        <v>0</v>
      </c>
      <c r="X39" s="236">
        <v>0</v>
      </c>
      <c r="Y39" s="235">
        <v>0</v>
      </c>
      <c r="Z39" s="254"/>
    </row>
    <row r="40" spans="1:26" ht="18" customHeight="1">
      <c r="A40" s="518"/>
      <c r="B40" s="518"/>
      <c r="C40" s="233" t="s">
        <v>234</v>
      </c>
      <c r="D40" s="316" t="s">
        <v>279</v>
      </c>
      <c r="E40" s="253">
        <v>0</v>
      </c>
      <c r="F40" s="236">
        <v>0</v>
      </c>
      <c r="G40" s="235">
        <v>0.4</v>
      </c>
      <c r="H40" s="236">
        <v>0.4</v>
      </c>
      <c r="I40" s="235">
        <v>-285</v>
      </c>
      <c r="J40" s="236">
        <v>2</v>
      </c>
      <c r="K40" s="235">
        <v>29</v>
      </c>
      <c r="L40" s="236">
        <v>66</v>
      </c>
      <c r="M40" s="235">
        <v>36</v>
      </c>
      <c r="N40" s="236">
        <v>45</v>
      </c>
      <c r="O40" s="321">
        <v>135</v>
      </c>
      <c r="P40" s="236">
        <v>66</v>
      </c>
      <c r="Q40" s="235">
        <v>352</v>
      </c>
      <c r="R40" s="236">
        <v>219</v>
      </c>
      <c r="S40" s="235">
        <v>51</v>
      </c>
      <c r="T40" s="236">
        <v>320</v>
      </c>
      <c r="U40" s="235">
        <v>2</v>
      </c>
      <c r="V40" s="236">
        <v>2</v>
      </c>
      <c r="W40" s="235">
        <v>8</v>
      </c>
      <c r="X40" s="236">
        <v>-15</v>
      </c>
      <c r="Y40" s="322">
        <v>0</v>
      </c>
      <c r="Z40" s="254"/>
    </row>
    <row r="41" spans="1:26" ht="18" customHeight="1">
      <c r="A41" s="518"/>
      <c r="B41" s="518"/>
      <c r="C41" s="323" t="s">
        <v>235</v>
      </c>
      <c r="D41" s="316" t="s">
        <v>280</v>
      </c>
      <c r="E41" s="235">
        <f>E34+E35-E36-E40</f>
        <v>373</v>
      </c>
      <c r="F41" s="236">
        <v>301</v>
      </c>
      <c r="G41" s="235">
        <f>G34+G35-G36-G40</f>
        <v>296.6</v>
      </c>
      <c r="H41" s="236">
        <v>279</v>
      </c>
      <c r="I41" s="235">
        <f>I34+I35-I36-I40</f>
        <v>683</v>
      </c>
      <c r="J41" s="236">
        <v>333</v>
      </c>
      <c r="K41" s="235">
        <f>K34+K35-K36-K40</f>
        <v>99</v>
      </c>
      <c r="L41" s="236">
        <v>128</v>
      </c>
      <c r="M41" s="235">
        <f>M34+M35-M36-M40</f>
        <v>70.98</v>
      </c>
      <c r="N41" s="236">
        <v>78</v>
      </c>
      <c r="O41" s="235">
        <f>O34+O35-O36-O40</f>
        <v>387</v>
      </c>
      <c r="P41" s="236">
        <v>115</v>
      </c>
      <c r="Q41" s="235">
        <f>Q34+Q35-Q36-Q40</f>
        <v>659</v>
      </c>
      <c r="R41" s="236">
        <v>399</v>
      </c>
      <c r="S41" s="235">
        <f>S34+S35-S36-S40</f>
        <v>-352</v>
      </c>
      <c r="T41" s="236">
        <v>679</v>
      </c>
      <c r="U41" s="235">
        <f>U34+U35-U36-U40</f>
        <v>112.95</v>
      </c>
      <c r="V41" s="236">
        <v>47</v>
      </c>
      <c r="W41" s="235">
        <f>W34+W35-W36-W40</f>
        <v>29</v>
      </c>
      <c r="X41" s="236">
        <v>24</v>
      </c>
      <c r="Y41" s="235">
        <v>-52</v>
      </c>
      <c r="Z41" s="254"/>
    </row>
    <row r="42" spans="1:26" ht="18" customHeight="1">
      <c r="A42" s="518"/>
      <c r="B42" s="518"/>
      <c r="C42" s="515" t="s">
        <v>236</v>
      </c>
      <c r="D42" s="516"/>
      <c r="E42" s="300">
        <f>E37+E38-E39-E40</f>
        <v>373</v>
      </c>
      <c r="F42" s="324">
        <v>301</v>
      </c>
      <c r="G42" s="325">
        <v>0</v>
      </c>
      <c r="H42" s="324">
        <v>0</v>
      </c>
      <c r="I42" s="325">
        <v>0</v>
      </c>
      <c r="J42" s="324">
        <v>0</v>
      </c>
      <c r="K42" s="325">
        <v>0</v>
      </c>
      <c r="L42" s="324">
        <v>0</v>
      </c>
      <c r="M42" s="325">
        <v>0</v>
      </c>
      <c r="N42" s="324">
        <v>0</v>
      </c>
      <c r="O42" s="325">
        <v>0</v>
      </c>
      <c r="P42" s="324">
        <v>0</v>
      </c>
      <c r="Q42" s="325">
        <v>0</v>
      </c>
      <c r="R42" s="324">
        <v>0</v>
      </c>
      <c r="S42" s="325">
        <v>0</v>
      </c>
      <c r="T42" s="324">
        <v>0</v>
      </c>
      <c r="U42" s="325">
        <v>0</v>
      </c>
      <c r="V42" s="324">
        <v>0</v>
      </c>
      <c r="W42" s="325">
        <v>0</v>
      </c>
      <c r="X42" s="324">
        <v>0</v>
      </c>
      <c r="Y42" s="326">
        <v>0</v>
      </c>
      <c r="Z42" s="254"/>
    </row>
    <row r="43" spans="1:26" ht="18" customHeight="1">
      <c r="A43" s="518"/>
      <c r="B43" s="518"/>
      <c r="C43" s="233" t="s">
        <v>237</v>
      </c>
      <c r="D43" s="316" t="s">
        <v>281</v>
      </c>
      <c r="E43" s="235">
        <v>0</v>
      </c>
      <c r="F43" s="236">
        <v>0</v>
      </c>
      <c r="G43" s="235">
        <v>3902</v>
      </c>
      <c r="H43" s="236">
        <v>3623</v>
      </c>
      <c r="I43" s="235">
        <v>-11709</v>
      </c>
      <c r="J43" s="236">
        <v>-12042</v>
      </c>
      <c r="K43" s="235">
        <v>1491</v>
      </c>
      <c r="L43" s="236">
        <v>1381</v>
      </c>
      <c r="M43" s="235">
        <v>2070</v>
      </c>
      <c r="N43" s="236">
        <v>1999</v>
      </c>
      <c r="O43" s="235">
        <v>2028</v>
      </c>
      <c r="P43" s="236">
        <v>1913</v>
      </c>
      <c r="Q43" s="235">
        <v>1469</v>
      </c>
      <c r="R43" s="236">
        <v>1110</v>
      </c>
      <c r="S43" s="235">
        <v>1128</v>
      </c>
      <c r="T43" s="236">
        <v>433</v>
      </c>
      <c r="U43" s="235">
        <v>66</v>
      </c>
      <c r="V43" s="236">
        <v>18</v>
      </c>
      <c r="W43" s="235">
        <v>541</v>
      </c>
      <c r="X43" s="236">
        <v>517</v>
      </c>
      <c r="Y43" s="326">
        <v>0</v>
      </c>
      <c r="Z43" s="254"/>
    </row>
    <row r="44" spans="1:26" ht="18" customHeight="1">
      <c r="A44" s="519"/>
      <c r="B44" s="519"/>
      <c r="C44" s="305" t="s">
        <v>238</v>
      </c>
      <c r="D44" s="327" t="s">
        <v>282</v>
      </c>
      <c r="E44" s="302">
        <f>E41+E43</f>
        <v>373</v>
      </c>
      <c r="F44" s="307">
        <v>301</v>
      </c>
      <c r="G44" s="302">
        <f>G41+G43</f>
        <v>4198.6</v>
      </c>
      <c r="H44" s="307">
        <v>3902</v>
      </c>
      <c r="I44" s="302">
        <f>I41+I43</f>
        <v>-11026</v>
      </c>
      <c r="J44" s="307">
        <v>-11709</v>
      </c>
      <c r="K44" s="302">
        <f>K41+K43</f>
        <v>1590</v>
      </c>
      <c r="L44" s="307">
        <v>1509</v>
      </c>
      <c r="M44" s="302">
        <f>M41+M43</f>
        <v>2140.98</v>
      </c>
      <c r="N44" s="307">
        <v>2077</v>
      </c>
      <c r="O44" s="302">
        <f>O41+O43</f>
        <v>2415</v>
      </c>
      <c r="P44" s="307">
        <v>2028</v>
      </c>
      <c r="Q44" s="302">
        <f>Q41+Q43</f>
        <v>2128</v>
      </c>
      <c r="R44" s="307">
        <v>1509</v>
      </c>
      <c r="S44" s="302">
        <f>S41+S43</f>
        <v>776</v>
      </c>
      <c r="T44" s="307">
        <v>1112</v>
      </c>
      <c r="U44" s="302">
        <f>U41+U43</f>
        <v>178.95</v>
      </c>
      <c r="V44" s="307">
        <v>65</v>
      </c>
      <c r="W44" s="302">
        <f>W41+W43</f>
        <v>570</v>
      </c>
      <c r="X44" s="307">
        <v>541</v>
      </c>
      <c r="Y44" s="302">
        <f>Y41+Y43</f>
        <v>-52</v>
      </c>
      <c r="Z44" s="309"/>
    </row>
    <row r="45" ht="13.5" customHeight="1">
      <c r="A45" s="328" t="s">
        <v>239</v>
      </c>
    </row>
    <row r="46" ht="13.5" customHeight="1">
      <c r="A46" s="328" t="s">
        <v>283</v>
      </c>
    </row>
    <row r="47" ht="13.5">
      <c r="A47" s="329"/>
    </row>
  </sheetData>
  <sheetProtection/>
  <mergeCells count="21">
    <mergeCell ref="Q6:R6"/>
    <mergeCell ref="S6:T6"/>
    <mergeCell ref="U6:V6"/>
    <mergeCell ref="W6:X6"/>
    <mergeCell ref="Y6:Z6"/>
    <mergeCell ref="A8:A14"/>
    <mergeCell ref="B9:B14"/>
    <mergeCell ref="E6:F6"/>
    <mergeCell ref="G6:H6"/>
    <mergeCell ref="I6:J6"/>
    <mergeCell ref="K6:L6"/>
    <mergeCell ref="M6:N6"/>
    <mergeCell ref="O6:P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8" scale="61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2018-09-18T01:42:21Z</cp:lastPrinted>
  <dcterms:created xsi:type="dcterms:W3CDTF">1999-07-06T05:17:05Z</dcterms:created>
  <dcterms:modified xsi:type="dcterms:W3CDTF">2018-10-29T05:50:33Z</dcterms:modified>
  <cp:category/>
  <cp:version/>
  <cp:contentType/>
  <cp:contentStatus/>
</cp:coreProperties>
</file>