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-cfs.city.hamamatsu.jp\H000501\K000501B\○起債\01 起債照会通知関係\R6関係\02_照会\029_240830〆_0709_都道府県及び指定都市の財政状況について（地方債協会）\04_起案・提出\"/>
    </mc:Choice>
  </mc:AlternateContent>
  <bookViews>
    <workbookView xWindow="-120" yWindow="-120" windowWidth="29040" windowHeight="15840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62913"/>
</workbook>
</file>

<file path=xl/calcChain.xml><?xml version="1.0" encoding="utf-8"?>
<calcChain xmlns="http://schemas.openxmlformats.org/spreadsheetml/2006/main">
  <c r="F24" i="8" l="1"/>
  <c r="H48" i="9"/>
  <c r="H47" i="9"/>
  <c r="H46" i="9"/>
  <c r="H46" i="6"/>
  <c r="K27" i="9" l="1"/>
  <c r="K24" i="9"/>
  <c r="J24" i="9"/>
  <c r="J27" i="9" s="1"/>
  <c r="K16" i="9"/>
  <c r="J16" i="9"/>
  <c r="K15" i="9"/>
  <c r="J15" i="9"/>
  <c r="K14" i="9"/>
  <c r="J14" i="9"/>
  <c r="K27" i="6"/>
  <c r="J27" i="6"/>
  <c r="K24" i="6"/>
  <c r="J24" i="6"/>
  <c r="K16" i="6"/>
  <c r="J16" i="6"/>
  <c r="K15" i="6"/>
  <c r="J15" i="6"/>
  <c r="K14" i="6"/>
  <c r="J14" i="6"/>
  <c r="M45" i="6" l="1"/>
  <c r="M44" i="6"/>
  <c r="L44" i="6"/>
  <c r="M39" i="6"/>
  <c r="L39" i="6"/>
  <c r="L45" i="6" s="1"/>
  <c r="M44" i="9"/>
  <c r="M45" i="9" s="1"/>
  <c r="L44" i="9"/>
  <c r="L45" i="9" s="1"/>
  <c r="M39" i="9"/>
  <c r="L39" i="9"/>
  <c r="H43" i="9" l="1"/>
  <c r="H42" i="9"/>
  <c r="H40" i="9"/>
  <c r="H38" i="9"/>
  <c r="H37" i="9"/>
  <c r="H36" i="9"/>
  <c r="H35" i="9"/>
  <c r="H34" i="9"/>
  <c r="H33" i="9"/>
  <c r="H32" i="9"/>
  <c r="H44" i="6"/>
  <c r="H43" i="6"/>
  <c r="H42" i="6"/>
  <c r="H39" i="6"/>
  <c r="H38" i="6"/>
  <c r="H37" i="6"/>
  <c r="H36" i="6"/>
  <c r="H35" i="6"/>
  <c r="H34" i="6"/>
  <c r="H33" i="6"/>
  <c r="H32" i="6"/>
  <c r="F31" i="10" l="1"/>
  <c r="F34" i="10" s="1"/>
  <c r="E31" i="10"/>
  <c r="E34" i="10" s="1"/>
  <c r="E41" i="10" l="1"/>
  <c r="E44" i="10" s="1"/>
  <c r="E37" i="10"/>
  <c r="E42" i="10" s="1"/>
  <c r="F41" i="10"/>
  <c r="F44" i="10" s="1"/>
  <c r="F37" i="10"/>
  <c r="F42" i="10" s="1"/>
  <c r="K44" i="9" l="1"/>
  <c r="J44" i="9"/>
  <c r="K39" i="9"/>
  <c r="K45" i="9" s="1"/>
  <c r="J39" i="9"/>
  <c r="J45" i="9" s="1"/>
  <c r="K44" i="6"/>
  <c r="J44" i="6"/>
  <c r="K39" i="6"/>
  <c r="K45" i="6" s="1"/>
  <c r="J39" i="6"/>
  <c r="J45" i="6" s="1"/>
  <c r="I24" i="9" l="1"/>
  <c r="I27" i="9" s="1"/>
  <c r="H24" i="9"/>
  <c r="H27" i="9" s="1"/>
  <c r="G24" i="9"/>
  <c r="G27" i="9" s="1"/>
  <c r="F24" i="9"/>
  <c r="F27" i="9" s="1"/>
  <c r="I16" i="9"/>
  <c r="H16" i="9"/>
  <c r="G16" i="9"/>
  <c r="F16" i="9"/>
  <c r="I15" i="9"/>
  <c r="H15" i="9"/>
  <c r="G15" i="9"/>
  <c r="F15" i="9"/>
  <c r="I14" i="9"/>
  <c r="H14" i="9"/>
  <c r="G14" i="9"/>
  <c r="F14" i="9"/>
  <c r="I27" i="6"/>
  <c r="I24" i="6"/>
  <c r="H24" i="6"/>
  <c r="H27" i="6" s="1"/>
  <c r="G24" i="6"/>
  <c r="G27" i="6" s="1"/>
  <c r="F24" i="6"/>
  <c r="F27" i="6" s="1"/>
  <c r="I16" i="6"/>
  <c r="H16" i="6"/>
  <c r="G16" i="6"/>
  <c r="F16" i="6"/>
  <c r="I15" i="6"/>
  <c r="H15" i="6"/>
  <c r="G15" i="6"/>
  <c r="F15" i="6"/>
  <c r="I14" i="6"/>
  <c r="H14" i="6"/>
  <c r="G14" i="6"/>
  <c r="F14" i="6"/>
  <c r="I48" i="9" l="1"/>
  <c r="I47" i="9"/>
  <c r="I46" i="9"/>
  <c r="G45" i="9"/>
  <c r="F45" i="9"/>
  <c r="I44" i="9"/>
  <c r="H44" i="9"/>
  <c r="G44" i="9"/>
  <c r="F44" i="9"/>
  <c r="I43" i="9"/>
  <c r="I42" i="9"/>
  <c r="I40" i="9"/>
  <c r="I39" i="9"/>
  <c r="I45" i="9" s="1"/>
  <c r="H39" i="9"/>
  <c r="G39" i="9"/>
  <c r="F39" i="9"/>
  <c r="I38" i="9"/>
  <c r="I37" i="9"/>
  <c r="I36" i="9"/>
  <c r="I35" i="9"/>
  <c r="I34" i="9"/>
  <c r="I33" i="9"/>
  <c r="I32" i="9"/>
  <c r="I46" i="6"/>
  <c r="I44" i="6"/>
  <c r="H45" i="6"/>
  <c r="G44" i="6"/>
  <c r="F44" i="6"/>
  <c r="I43" i="6"/>
  <c r="I42" i="6"/>
  <c r="G39" i="6"/>
  <c r="G45" i="6" s="1"/>
  <c r="F39" i="6"/>
  <c r="F45" i="6" s="1"/>
  <c r="I38" i="6"/>
  <c r="I37" i="6"/>
  <c r="I36" i="6"/>
  <c r="I35" i="6"/>
  <c r="I34" i="6"/>
  <c r="I33" i="6"/>
  <c r="I32" i="6"/>
  <c r="I39" i="6" s="1"/>
  <c r="I45" i="6" s="1"/>
  <c r="H45" i="9" l="1"/>
  <c r="F22" i="2"/>
  <c r="F34" i="7" l="1"/>
  <c r="F22" i="8" l="1"/>
  <c r="H22" i="8"/>
  <c r="G22" i="8"/>
  <c r="H20" i="8"/>
  <c r="G20" i="8"/>
  <c r="F20" i="8"/>
  <c r="E20" i="8"/>
  <c r="H19" i="8"/>
  <c r="H23" i="8" s="1"/>
  <c r="G19" i="8"/>
  <c r="G23" i="8" s="1"/>
  <c r="F19" i="8"/>
  <c r="F21" i="8" s="1"/>
  <c r="E19" i="8"/>
  <c r="E21" i="8" s="1"/>
  <c r="I9" i="7"/>
  <c r="F27" i="7"/>
  <c r="F23" i="7"/>
  <c r="H34" i="7"/>
  <c r="H27" i="7"/>
  <c r="H23" i="7"/>
  <c r="H40" i="7" s="1"/>
  <c r="H22" i="7"/>
  <c r="F35" i="2"/>
  <c r="F34" i="2" s="1"/>
  <c r="F27" i="2"/>
  <c r="F23" i="2"/>
  <c r="H22" i="2"/>
  <c r="H40" i="2"/>
  <c r="H35" i="2"/>
  <c r="H34" i="2" s="1"/>
  <c r="H27" i="2"/>
  <c r="H23" i="2"/>
  <c r="E23" i="8" l="1"/>
  <c r="F23" i="8"/>
  <c r="G21" i="8"/>
  <c r="H21" i="8"/>
  <c r="E22" i="8"/>
  <c r="I22" i="8"/>
  <c r="I20" i="8"/>
  <c r="I16" i="2"/>
  <c r="F40" i="7"/>
  <c r="F22" i="7"/>
  <c r="G9" i="7" s="1"/>
  <c r="F40" i="2"/>
  <c r="G38" i="2" s="1"/>
  <c r="G20" i="2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H31" i="10"/>
  <c r="H34" i="10" s="1"/>
  <c r="G31" i="10"/>
  <c r="G34" i="10" s="1"/>
  <c r="O44" i="9"/>
  <c r="N44" i="9"/>
  <c r="O39" i="9"/>
  <c r="N39" i="9"/>
  <c r="O24" i="9"/>
  <c r="O27" i="9" s="1"/>
  <c r="N24" i="9"/>
  <c r="N27" i="9" s="1"/>
  <c r="M24" i="9"/>
  <c r="M27" i="9" s="1"/>
  <c r="L24" i="9"/>
  <c r="L27" i="9" s="1"/>
  <c r="O16" i="9"/>
  <c r="N16" i="9"/>
  <c r="M16" i="9"/>
  <c r="L16" i="9"/>
  <c r="O15" i="9"/>
  <c r="N15" i="9"/>
  <c r="M15" i="9"/>
  <c r="L15" i="9"/>
  <c r="O14" i="9"/>
  <c r="N14" i="9"/>
  <c r="M14" i="9"/>
  <c r="L14" i="9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O44" i="6"/>
  <c r="N44" i="6"/>
  <c r="O39" i="6"/>
  <c r="O45" i="6" s="1"/>
  <c r="N39" i="6"/>
  <c r="O24" i="6"/>
  <c r="O27" i="6" s="1"/>
  <c r="N24" i="6"/>
  <c r="N27" i="6" s="1"/>
  <c r="M24" i="6"/>
  <c r="M27" i="6" s="1"/>
  <c r="L24" i="6"/>
  <c r="L27" i="6" s="1"/>
  <c r="O16" i="6"/>
  <c r="N16" i="6"/>
  <c r="M16" i="6"/>
  <c r="L16" i="6"/>
  <c r="O15" i="6"/>
  <c r="N15" i="6"/>
  <c r="M15" i="6"/>
  <c r="L15" i="6"/>
  <c r="O14" i="6"/>
  <c r="N14" i="6"/>
  <c r="M14" i="6"/>
  <c r="L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G31" i="2" l="1"/>
  <c r="G34" i="2"/>
  <c r="O45" i="9"/>
  <c r="I23" i="8"/>
  <c r="I21" i="8"/>
  <c r="G40" i="2"/>
  <c r="G21" i="2"/>
  <c r="N45" i="6"/>
  <c r="I40" i="7"/>
  <c r="K37" i="10"/>
  <c r="K42" i="10" s="1"/>
  <c r="G13" i="2"/>
  <c r="G31" i="7"/>
  <c r="G39" i="7"/>
  <c r="N45" i="9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H41" i="10"/>
  <c r="H44" i="10" s="1"/>
  <c r="H37" i="10"/>
  <c r="H42" i="10" s="1"/>
  <c r="I37" i="10"/>
  <c r="I42" i="10" s="1"/>
  <c r="I41" i="10"/>
  <c r="I44" i="10" s="1"/>
  <c r="L37" i="10"/>
  <c r="L42" i="10" s="1"/>
  <c r="G9" i="2"/>
  <c r="I22" i="2"/>
  <c r="G22" i="2"/>
  <c r="G10" i="2"/>
  <c r="G16" i="2"/>
  <c r="G14" i="2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<sst xmlns="http://schemas.openxmlformats.org/spreadsheetml/2006/main" count="513" uniqueCount="267">
  <si>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</si>
  <si>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</si>
  <si>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</si>
  <si>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</si>
  <si>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</si>
  <si>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</si>
  <si>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</si>
  <si>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</si>
  <si>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</si>
  <si>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</si>
  <si>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</si>
  <si>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</si>
  <si>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</si>
  <si>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</si>
  <si>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</si>
  <si>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</si>
  <si>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</si>
  <si>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</si>
  <si>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</si>
  <si>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</si>
  <si>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</si>
  <si>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</si>
  <si>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</si>
  <si>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</si>
  <si>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</si>
  <si>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</si>
  <si>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</si>
  <si>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</si>
  <si>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</si>
  <si>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</si>
  <si>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</si>
  <si>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</si>
  <si>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</si>
  <si>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</si>
  <si>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</si>
  <si>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</si>
  <si>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</si>
  <si>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</si>
  <si>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</si>
  <si>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</si>
  <si>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</si>
  <si>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</si>
  <si>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</si>
  <si>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</si>
  <si>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</si>
  <si>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</si>
  <si>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</si>
  <si>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</si>
  <si>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</si>
  <si>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</si>
  <si>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</si>
  <si>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</si>
  <si>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</si>
  <si>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</si>
  <si>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</si>
  <si>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</si>
  <si>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</si>
  <si>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</si>
  <si>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</si>
  <si>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</si>
  <si>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</si>
  <si>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</si>
  <si>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</si>
  <si>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</si>
  <si>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</si>
  <si>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</si>
  <si>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</si>
  <si>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</si>
  <si>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</si>
  <si>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</si>
  <si>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</si>
  <si>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</si>
  <si>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</si>
  <si>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</si>
  <si>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</si>
  <si>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</si>
  <si>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</si>
  <si>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</si>
  <si>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</si>
  <si>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</si>
  <si>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</si>
  <si>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</si>
  <si>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</si>
  <si>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</si>
  <si>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</si>
  <si>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</si>
  <si>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</si>
  <si>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</si>
  <si>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</si>
  <si>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</si>
  <si>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</si>
  <si>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</si>
  <si>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</si>
  <si>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</si>
  <si>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</si>
  <si>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</si>
  <si>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</si>
  <si>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</si>
  <si>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</si>
  <si>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</si>
  <si>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</si>
  <si>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</si>
  <si>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</si>
  <si>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</si>
  <si>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</si>
  <si>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</si>
  <si>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</si>
  <si>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</si>
  <si>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</si>
  <si>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</si>
  <si>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</si>
  <si>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</si>
  <si>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</si>
  <si>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</si>
  <si>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</si>
  <si>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</si>
  <si>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</si>
  <si>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</si>
  <si>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</si>
  <si>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</si>
  <si>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</si>
  <si>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</si>
  <si>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</si>
  <si>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</si>
  <si>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</si>
  <si>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</si>
  <si>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</si>
  <si>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</si>
  <si>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</si>
  <si>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</si>
  <si>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</si>
  <si>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</si>
  <si>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</si>
  <si>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</si>
  <si>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</si>
  <si>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</si>
  <si>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</si>
  <si>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</si>
  <si>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</si>
  <si>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</si>
  <si>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</si>
  <si>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</si>
  <si>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</si>
  <si>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</si>
  <si>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</si>
  <si>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</si>
  <si>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</si>
  <si>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</si>
  <si>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</si>
  <si>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</si>
  <si>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</si>
  <si>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</si>
  <si>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</si>
  <si>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</si>
  <si>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</si>
  <si>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</si>
  <si>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</si>
  <si>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</si>
  <si>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</si>
  <si>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</si>
  <si>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</si>
  <si>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</si>
  <si>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</si>
  <si>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</si>
  <si>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</si>
  <si>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</si>
  <si>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</si>
  <si>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</si>
  <si>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</si>
  <si>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</si>
  <si>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</si>
  <si>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</si>
  <si>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</si>
  <si>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</si>
  <si>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</si>
  <si>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</si>
  <si>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</si>
  <si>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</si>
  <si>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</si>
  <si>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</si>
  <si>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</si>
  <si>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</si>
  <si>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</si>
  <si>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</si>
  <si>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</si>
  <si>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</si>
  <si>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</si>
  <si>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</si>
  <si>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</si>
  <si>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</si>
  <si>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</si>
  <si>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</si>
  <si>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</si>
  <si>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</si>
  <si>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</si>
  <si>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</si>
  <si>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</si>
  <si>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</si>
  <si>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</si>
  <si>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</si>
  <si>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</si>
  <si>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</si>
  <si>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</si>
  <si>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</si>
  <si>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</si>
  <si>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</si>
  <si>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</si>
  <si>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</si>
  <si>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</si>
  <si>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</si>
  <si>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</si>
  <si>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</si>
  <si>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</si>
  <si>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</si>
  <si>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</si>
  <si>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</si>
  <si>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</si>
  <si>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</si>
  <si>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</si>
  <si>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</si>
  <si>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</si>
  <si>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</si>
  <si>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</si>
  <si>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</si>
  <si>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</si>
  <si>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</si>
  <si>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</si>
  <si>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</si>
  <si>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</si>
  <si>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</si>
  <si>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</si>
  <si>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</si>
  <si>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</si>
  <si>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</si>
  <si>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</si>
  <si>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</si>
  <si>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</si>
  <si>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</si>
  <si>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</si>
  <si>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</si>
  <si>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</si>
  <si>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</si>
  <si>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</si>
  <si>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</si>
  <si>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</si>
  <si>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</si>
  <si>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←照会フォルダ　普通会計集計表</t>
    <rPh sb="1" eb="3">
      <t>ショウカイ</t>
    </rPh>
    <rPh sb="8" eb="10">
      <t>フツウ</t>
    </rPh>
    <rPh sb="10" eb="12">
      <t>カイケイ</t>
    </rPh>
    <rPh sb="12" eb="14">
      <t>シュウケイ</t>
    </rPh>
    <rPh sb="14" eb="15">
      <t>ヒョウ</t>
    </rPh>
    <phoneticPr fontId="7"/>
  </si>
  <si>
    <t>←歳入合計－（その他収入以外の収入）</t>
    <rPh sb="1" eb="3">
      <t>サイニュウ</t>
    </rPh>
    <rPh sb="3" eb="5">
      <t>ゴウケイ</t>
    </rPh>
    <rPh sb="9" eb="12">
      <t>タシュウニュウ</t>
    </rPh>
    <rPh sb="12" eb="14">
      <t>イガイ</t>
    </rPh>
    <rPh sb="15" eb="17">
      <t>シュウニュウ</t>
    </rPh>
    <phoneticPr fontId="7"/>
  </si>
  <si>
    <t>←R6当初歳入イロハ</t>
    <rPh sb="3" eb="5">
      <t>トウショ</t>
    </rPh>
    <rPh sb="5" eb="7">
      <t>サイニュウ</t>
    </rPh>
    <phoneticPr fontId="7"/>
  </si>
  <si>
    <t>浜松市</t>
    <rPh sb="0" eb="3">
      <t>ハママツシ</t>
    </rPh>
    <phoneticPr fontId="7"/>
  </si>
  <si>
    <t>浜松市</t>
    <rPh sb="0" eb="3">
      <t>ハママツシ</t>
    </rPh>
    <phoneticPr fontId="15"/>
  </si>
  <si>
    <t>←決算カード</t>
    <rPh sb="1" eb="3">
      <t>ケッサン</t>
    </rPh>
    <phoneticPr fontId="7"/>
  </si>
  <si>
    <t>←決算手持ち（市税決算額の比較）</t>
    <rPh sb="1" eb="3">
      <t>ケッサン</t>
    </rPh>
    <rPh sb="3" eb="5">
      <t>テモ</t>
    </rPh>
    <rPh sb="7" eb="8">
      <t>シ</t>
    </rPh>
    <rPh sb="8" eb="9">
      <t>ゼイ</t>
    </rPh>
    <rPh sb="9" eb="11">
      <t>ケッサン</t>
    </rPh>
    <rPh sb="11" eb="12">
      <t>ガク</t>
    </rPh>
    <rPh sb="13" eb="15">
      <t>ヒカク</t>
    </rPh>
    <phoneticPr fontId="7"/>
  </si>
  <si>
    <t>←自動計算</t>
    <rPh sb="1" eb="3">
      <t>ジドウ</t>
    </rPh>
    <rPh sb="3" eb="5">
      <t>ケイサン</t>
    </rPh>
    <phoneticPr fontId="7"/>
  </si>
  <si>
    <t>←財政のすがた　本編　３　普通会計決算の分析　 (1) 歳入決算の概要　</t>
    <rPh sb="1" eb="3">
      <t>ザイセイ</t>
    </rPh>
    <rPh sb="8" eb="10">
      <t>ホンペン</t>
    </rPh>
    <phoneticPr fontId="7"/>
  </si>
  <si>
    <t>浜松市</t>
    <rPh sb="0" eb="3">
      <t>ハママツシ</t>
    </rPh>
    <phoneticPr fontId="7"/>
  </si>
  <si>
    <t>と畜事業</t>
    <rPh sb="1" eb="2">
      <t>チク</t>
    </rPh>
    <rPh sb="2" eb="4">
      <t>ジギョウ</t>
    </rPh>
    <phoneticPr fontId="7"/>
  </si>
  <si>
    <t>市場事業</t>
    <rPh sb="0" eb="2">
      <t>シジョウ</t>
    </rPh>
    <rPh sb="2" eb="4">
      <t>ジギョウ</t>
    </rPh>
    <phoneticPr fontId="7"/>
  </si>
  <si>
    <t>令和４年度</t>
    <rPh sb="3" eb="5">
      <t>ネンド</t>
    </rPh>
    <phoneticPr fontId="7"/>
  </si>
  <si>
    <t>－</t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</si>
  <si>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</si>
  <si>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</si>
  <si>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浜松市</t>
    <rPh sb="0" eb="3">
      <t>ハママツシ</t>
    </rPh>
    <phoneticPr fontId="15"/>
  </si>
  <si>
    <t>駐車場事業</t>
    <rPh sb="0" eb="3">
      <t>チュウシャジョウ</t>
    </rPh>
    <rPh sb="3" eb="5">
      <t>ジギョウ</t>
    </rPh>
    <phoneticPr fontId="7"/>
  </si>
  <si>
    <t>なゆた浜北</t>
    <rPh sb="3" eb="5">
      <t>ハマキタ</t>
    </rPh>
    <phoneticPr fontId="7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</si>
  <si>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</si>
  <si>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病院事業</t>
    <rPh sb="0" eb="2">
      <t>ビョウイン</t>
    </rPh>
    <rPh sb="2" eb="4">
      <t>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</si>
</sst>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19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31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177" fontId="0" fillId="0" borderId="8" xfId="1" applyNumberFormat="1" applyFont="1" applyFill="1" applyBorder="1" applyAlignment="1">
      <alignment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177" fontId="0" fillId="0" borderId="8" xfId="1" quotePrefix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177" fontId="0" fillId="0" borderId="8" xfId="0" quotePrefix="1" applyNumberFormat="1" applyFill="1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41" fontId="0" fillId="0" borderId="12" xfId="0" applyNumberFormat="1" applyFill="1" applyBorder="1" applyAlignment="1">
      <alignment horizontal="center" vertical="center"/>
    </xf>
    <xf numFmtId="41" fontId="0" fillId="0" borderId="13" xfId="0" applyNumberFormat="1" applyFill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pane xSplit="5" ySplit="8" topLeftCell="F9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10" ht="33.950000000000003" customHeight="1">
      <c r="A1" s="104" t="s">
        <v>0</v>
      </c>
      <c r="B1" s="104"/>
      <c r="C1" s="104"/>
      <c r="D1" s="104"/>
      <c r="E1" s="20" t="s">
        <v>249</v>
      </c>
      <c r="F1" s="2"/>
    </row>
    <row r="3" spans="1:10" ht="14.25">
      <c r="A3" s="10" t="s">
        <v>103</v>
      </c>
    </row>
    <row r="5" spans="1:10">
      <c r="A5" s="9" t="s">
        <v>233</v>
      </c>
    </row>
    <row r="6" spans="1:10" ht="14.25">
      <c r="A6" s="3"/>
      <c r="G6" s="106" t="s">
        <v>104</v>
      </c>
      <c r="H6" s="107"/>
      <c r="I6" s="107"/>
    </row>
    <row r="7" spans="1:10" ht="27" customHeight="1">
      <c r="A7" s="8"/>
      <c r="B7" s="4"/>
      <c r="C7" s="4"/>
      <c r="D7" s="4"/>
      <c r="E7" s="59"/>
      <c r="F7" s="51" t="s">
        <v>235</v>
      </c>
      <c r="G7" s="51"/>
      <c r="H7" s="51" t="s">
        <v>231</v>
      </c>
      <c r="I7" s="52" t="s">
        <v>20</v>
      </c>
    </row>
    <row r="8" spans="1:10" ht="17.100000000000001" customHeight="1">
      <c r="A8" s="5"/>
      <c r="B8" s="6"/>
      <c r="C8" s="6"/>
      <c r="D8" s="6"/>
      <c r="E8" s="60"/>
      <c r="F8" s="53" t="s">
        <v>101</v>
      </c>
      <c r="G8" s="53" t="s">
        <v>1</v>
      </c>
      <c r="H8" s="53" t="s">
        <v>229</v>
      </c>
      <c r="I8" s="54"/>
    </row>
    <row r="9" spans="1:10" ht="18" customHeight="1">
      <c r="A9" s="105" t="s">
        <v>79</v>
      </c>
      <c r="B9" s="105" t="s">
        <v>80</v>
      </c>
      <c r="C9" s="61" t="s">
        <v>2</v>
      </c>
      <c r="D9" s="55"/>
      <c r="E9" s="55"/>
      <c r="F9" s="56">
        <v>147200</v>
      </c>
      <c r="G9" s="57">
        <f t="shared" ref="G9:G22" si="0">F9/$F$22*100</f>
        <v>37.114293112651204</v>
      </c>
      <c r="H9" s="56">
        <v>149700</v>
      </c>
      <c r="I9" s="57">
        <f t="shared" ref="I9:I21" si="1">(F9/H9-1)*100</f>
        <v>-1.6700066800267255</v>
      </c>
      <c r="J9" s="1" t="s">
        <v>248</v>
      </c>
    </row>
    <row r="10" spans="1:10" ht="18" customHeight="1">
      <c r="A10" s="105"/>
      <c r="B10" s="105"/>
      <c r="C10" s="63"/>
      <c r="D10" s="61" t="s">
        <v>21</v>
      </c>
      <c r="E10" s="55"/>
      <c r="F10" s="56">
        <v>71077</v>
      </c>
      <c r="G10" s="57">
        <f t="shared" si="0"/>
        <v>17.92100958945591</v>
      </c>
      <c r="H10" s="94">
        <v>73826</v>
      </c>
      <c r="I10" s="57">
        <f t="shared" si="1"/>
        <v>-3.7236204047354615</v>
      </c>
      <c r="J10" s="1" t="s">
        <v>248</v>
      </c>
    </row>
    <row r="11" spans="1:10" ht="18" customHeight="1">
      <c r="A11" s="105"/>
      <c r="B11" s="105"/>
      <c r="C11" s="50"/>
      <c r="D11" s="50"/>
      <c r="E11" s="30" t="s">
        <v>22</v>
      </c>
      <c r="F11" s="56">
        <v>60462.5</v>
      </c>
      <c r="G11" s="57">
        <f t="shared" si="0"/>
        <v>15.244721109535824</v>
      </c>
      <c r="H11" s="94">
        <v>63016</v>
      </c>
      <c r="I11" s="57">
        <f t="shared" si="1"/>
        <v>-4.0521454868604811</v>
      </c>
      <c r="J11" s="1" t="s">
        <v>248</v>
      </c>
    </row>
    <row r="12" spans="1:10" ht="18" customHeight="1">
      <c r="A12" s="105"/>
      <c r="B12" s="105"/>
      <c r="C12" s="50"/>
      <c r="D12" s="29"/>
      <c r="E12" s="30" t="s">
        <v>23</v>
      </c>
      <c r="F12" s="56">
        <v>6420</v>
      </c>
      <c r="G12" s="57">
        <f>F12/$F$22*100</f>
        <v>1.6187076208099234</v>
      </c>
      <c r="H12" s="94">
        <v>6280</v>
      </c>
      <c r="I12" s="57">
        <f t="shared" si="1"/>
        <v>2.2292993630573354</v>
      </c>
      <c r="J12" s="1" t="s">
        <v>248</v>
      </c>
    </row>
    <row r="13" spans="1:10" ht="18" customHeight="1">
      <c r="A13" s="105"/>
      <c r="B13" s="105"/>
      <c r="C13" s="62"/>
      <c r="D13" s="55" t="s">
        <v>24</v>
      </c>
      <c r="E13" s="55"/>
      <c r="F13" s="56">
        <v>55320</v>
      </c>
      <c r="G13" s="57">
        <f t="shared" si="0"/>
        <v>13.948116134455601</v>
      </c>
      <c r="H13" s="94">
        <v>55300</v>
      </c>
      <c r="I13" s="57">
        <f t="shared" si="1"/>
        <v>3.616636528029904E-2</v>
      </c>
      <c r="J13" s="1" t="s">
        <v>248</v>
      </c>
    </row>
    <row r="14" spans="1:10" ht="18" customHeight="1">
      <c r="A14" s="105"/>
      <c r="B14" s="105"/>
      <c r="C14" s="55" t="s">
        <v>3</v>
      </c>
      <c r="D14" s="55"/>
      <c r="E14" s="55"/>
      <c r="F14" s="56">
        <v>3765</v>
      </c>
      <c r="G14" s="57">
        <f t="shared" si="0"/>
        <v>0.94928881500768858</v>
      </c>
      <c r="H14" s="56">
        <v>3635</v>
      </c>
      <c r="I14" s="57">
        <f t="shared" si="1"/>
        <v>3.5763411279229773</v>
      </c>
      <c r="J14" s="1" t="s">
        <v>246</v>
      </c>
    </row>
    <row r="15" spans="1:10" ht="18" customHeight="1">
      <c r="A15" s="105"/>
      <c r="B15" s="105"/>
      <c r="C15" s="55" t="s">
        <v>4</v>
      </c>
      <c r="D15" s="55"/>
      <c r="E15" s="55"/>
      <c r="F15" s="56">
        <v>34500</v>
      </c>
      <c r="G15" s="57">
        <f t="shared" si="0"/>
        <v>8.6986624482776254</v>
      </c>
      <c r="H15" s="56">
        <v>31500</v>
      </c>
      <c r="I15" s="57">
        <f t="shared" si="1"/>
        <v>9.5238095238095344</v>
      </c>
      <c r="J15" s="1" t="s">
        <v>246</v>
      </c>
    </row>
    <row r="16" spans="1:10" ht="18" customHeight="1">
      <c r="A16" s="105"/>
      <c r="B16" s="105"/>
      <c r="C16" s="55" t="s">
        <v>25</v>
      </c>
      <c r="D16" s="55"/>
      <c r="E16" s="55"/>
      <c r="F16" s="56">
        <v>4612.8999999999996</v>
      </c>
      <c r="G16" s="57">
        <f t="shared" si="0"/>
        <v>1.1630742031205754</v>
      </c>
      <c r="H16" s="56">
        <v>4257.8</v>
      </c>
      <c r="I16" s="57">
        <f>(F16/H16-1)*100</f>
        <v>8.3399877871201067</v>
      </c>
      <c r="J16" s="1" t="s">
        <v>246</v>
      </c>
    </row>
    <row r="17" spans="1:10" ht="18" customHeight="1">
      <c r="A17" s="105"/>
      <c r="B17" s="105"/>
      <c r="C17" s="55" t="s">
        <v>5</v>
      </c>
      <c r="D17" s="55"/>
      <c r="E17" s="55"/>
      <c r="F17" s="56">
        <v>76402.5</v>
      </c>
      <c r="G17" s="57">
        <f t="shared" si="0"/>
        <v>19.263755295783515</v>
      </c>
      <c r="H17" s="56">
        <v>74628.399999999994</v>
      </c>
      <c r="I17" s="57">
        <f t="shared" si="1"/>
        <v>2.3772451238402548</v>
      </c>
      <c r="J17" s="1" t="s">
        <v>246</v>
      </c>
    </row>
    <row r="18" spans="1:10" ht="18" customHeight="1">
      <c r="A18" s="105"/>
      <c r="B18" s="105"/>
      <c r="C18" s="55" t="s">
        <v>26</v>
      </c>
      <c r="D18" s="55"/>
      <c r="E18" s="55"/>
      <c r="F18" s="56">
        <v>22210.400000000001</v>
      </c>
      <c r="G18" s="57">
        <f t="shared" si="0"/>
        <v>5.6000223896007357</v>
      </c>
      <c r="H18" s="56">
        <v>21050.400000000001</v>
      </c>
      <c r="I18" s="57">
        <f t="shared" si="1"/>
        <v>5.5105841219169172</v>
      </c>
      <c r="J18" s="1" t="s">
        <v>246</v>
      </c>
    </row>
    <row r="19" spans="1:10" ht="18" customHeight="1">
      <c r="A19" s="105"/>
      <c r="B19" s="105"/>
      <c r="C19" s="55" t="s">
        <v>27</v>
      </c>
      <c r="D19" s="55"/>
      <c r="E19" s="55"/>
      <c r="F19" s="56">
        <v>1396.7</v>
      </c>
      <c r="G19" s="57">
        <f t="shared" si="0"/>
        <v>0.35215715482635829</v>
      </c>
      <c r="H19" s="56">
        <v>626</v>
      </c>
      <c r="I19" s="57">
        <f t="shared" si="1"/>
        <v>123.11501597444092</v>
      </c>
      <c r="J19" s="1" t="s">
        <v>246</v>
      </c>
    </row>
    <row r="20" spans="1:10" ht="18" customHeight="1">
      <c r="A20" s="105"/>
      <c r="B20" s="105"/>
      <c r="C20" s="55" t="s">
        <v>6</v>
      </c>
      <c r="D20" s="55"/>
      <c r="E20" s="55"/>
      <c r="F20" s="56">
        <v>31944.2</v>
      </c>
      <c r="G20" s="57">
        <f t="shared" si="0"/>
        <v>8.054255448703481</v>
      </c>
      <c r="H20" s="56">
        <v>29657.9</v>
      </c>
      <c r="I20" s="57">
        <f t="shared" si="1"/>
        <v>7.7089072388806912</v>
      </c>
      <c r="J20" s="1" t="s">
        <v>246</v>
      </c>
    </row>
    <row r="21" spans="1:10" ht="18" customHeight="1">
      <c r="A21" s="105"/>
      <c r="B21" s="105"/>
      <c r="C21" s="55" t="s">
        <v>7</v>
      </c>
      <c r="D21" s="55"/>
      <c r="E21" s="55"/>
      <c r="F21" s="56">
        <v>74581</v>
      </c>
      <c r="G21" s="57">
        <f t="shared" si="0"/>
        <v>18.804491132028801</v>
      </c>
      <c r="H21" s="56">
        <v>74754</v>
      </c>
      <c r="I21" s="57">
        <f t="shared" si="1"/>
        <v>-0.23142574310405228</v>
      </c>
      <c r="J21" s="1" t="s">
        <v>247</v>
      </c>
    </row>
    <row r="22" spans="1:10" ht="18" customHeight="1">
      <c r="A22" s="105"/>
      <c r="B22" s="105"/>
      <c r="C22" s="55" t="s">
        <v>8</v>
      </c>
      <c r="D22" s="55"/>
      <c r="E22" s="55"/>
      <c r="F22" s="56">
        <f>SUM(F9,F14:F21)</f>
        <v>396612.70000000007</v>
      </c>
      <c r="G22" s="57">
        <f t="shared" si="0"/>
        <v>100</v>
      </c>
      <c r="H22" s="56">
        <f>SUM(H9,H14:H21)</f>
        <v>389809.5</v>
      </c>
      <c r="I22" s="57">
        <f t="shared" ref="I22:I40" si="2">(F22/H22-1)*100</f>
        <v>1.7452627501382212</v>
      </c>
      <c r="J22" s="1" t="s">
        <v>246</v>
      </c>
    </row>
    <row r="23" spans="1:10" ht="18" customHeight="1">
      <c r="A23" s="105"/>
      <c r="B23" s="105" t="s">
        <v>81</v>
      </c>
      <c r="C23" s="64" t="s">
        <v>9</v>
      </c>
      <c r="D23" s="30"/>
      <c r="E23" s="30"/>
      <c r="F23" s="56">
        <f>F24+F25+F26</f>
        <v>207044.8</v>
      </c>
      <c r="G23" s="57">
        <f t="shared" ref="G23:G37" si="3">F23/$F$40*100</f>
        <v>52.203296668662738</v>
      </c>
      <c r="H23" s="56">
        <f>H24+H25+H26</f>
        <v>199626.2</v>
      </c>
      <c r="I23" s="57">
        <f t="shared" si="2"/>
        <v>3.716245663144413</v>
      </c>
    </row>
    <row r="24" spans="1:10" ht="18" customHeight="1">
      <c r="A24" s="105"/>
      <c r="B24" s="105"/>
      <c r="C24" s="63"/>
      <c r="D24" s="30" t="s">
        <v>10</v>
      </c>
      <c r="E24" s="30"/>
      <c r="F24" s="56">
        <v>82897</v>
      </c>
      <c r="G24" s="57">
        <f t="shared" si="3"/>
        <v>20.901257524661983</v>
      </c>
      <c r="H24" s="56">
        <v>78556.2</v>
      </c>
      <c r="I24" s="57">
        <f t="shared" si="2"/>
        <v>5.5257255315303011</v>
      </c>
      <c r="J24" s="1" t="s">
        <v>246</v>
      </c>
    </row>
    <row r="25" spans="1:10" ht="18" customHeight="1">
      <c r="A25" s="105"/>
      <c r="B25" s="105"/>
      <c r="C25" s="63"/>
      <c r="D25" s="30" t="s">
        <v>28</v>
      </c>
      <c r="E25" s="30"/>
      <c r="F25" s="56">
        <v>89009.5</v>
      </c>
      <c r="G25" s="57">
        <f t="shared" si="3"/>
        <v>22.442434366037379</v>
      </c>
      <c r="H25" s="56">
        <v>84945.3</v>
      </c>
      <c r="I25" s="57">
        <f t="shared" si="2"/>
        <v>4.7844907252078572</v>
      </c>
      <c r="J25" s="1" t="s">
        <v>246</v>
      </c>
    </row>
    <row r="26" spans="1:10" ht="18" customHeight="1">
      <c r="A26" s="105"/>
      <c r="B26" s="105"/>
      <c r="C26" s="62"/>
      <c r="D26" s="30" t="s">
        <v>11</v>
      </c>
      <c r="E26" s="30"/>
      <c r="F26" s="56">
        <v>35138.300000000003</v>
      </c>
      <c r="G26" s="57">
        <f t="shared" si="3"/>
        <v>8.8596047779633782</v>
      </c>
      <c r="H26" s="56">
        <v>36124.699999999997</v>
      </c>
      <c r="I26" s="57">
        <f t="shared" si="2"/>
        <v>-2.7305417069207305</v>
      </c>
      <c r="J26" s="1" t="s">
        <v>246</v>
      </c>
    </row>
    <row r="27" spans="1:10" ht="18" customHeight="1">
      <c r="A27" s="105"/>
      <c r="B27" s="105"/>
      <c r="C27" s="64" t="s">
        <v>12</v>
      </c>
      <c r="D27" s="30"/>
      <c r="E27" s="30"/>
      <c r="F27" s="56">
        <f>F28+F29+F30+F31+F32+F33</f>
        <v>135270.09999999998</v>
      </c>
      <c r="G27" s="57">
        <f t="shared" si="3"/>
        <v>34.106363263891069</v>
      </c>
      <c r="H27" s="56">
        <f>H28+H29+H30+H31+H32+H33</f>
        <v>118619.60000000002</v>
      </c>
      <c r="I27" s="57">
        <f t="shared" si="2"/>
        <v>14.036887664433163</v>
      </c>
    </row>
    <row r="28" spans="1:10" ht="18" customHeight="1">
      <c r="A28" s="105"/>
      <c r="B28" s="105"/>
      <c r="C28" s="63"/>
      <c r="D28" s="30" t="s">
        <v>13</v>
      </c>
      <c r="E28" s="30"/>
      <c r="F28" s="56">
        <v>60656.9</v>
      </c>
      <c r="G28" s="57">
        <f t="shared" si="3"/>
        <v>15.293743893598915</v>
      </c>
      <c r="H28" s="56">
        <v>56456.5</v>
      </c>
      <c r="I28" s="57">
        <f t="shared" si="2"/>
        <v>7.4400644744183619</v>
      </c>
      <c r="J28" s="1" t="s">
        <v>246</v>
      </c>
    </row>
    <row r="29" spans="1:10" ht="18" customHeight="1">
      <c r="A29" s="105"/>
      <c r="B29" s="105"/>
      <c r="C29" s="63"/>
      <c r="D29" s="30" t="s">
        <v>29</v>
      </c>
      <c r="E29" s="30"/>
      <c r="F29" s="56">
        <v>14622.5</v>
      </c>
      <c r="G29" s="57">
        <f t="shared" si="3"/>
        <v>3.6868479939487533</v>
      </c>
      <c r="H29" s="56">
        <v>11444</v>
      </c>
      <c r="I29" s="57">
        <f t="shared" si="2"/>
        <v>27.774379587556798</v>
      </c>
      <c r="J29" s="1" t="s">
        <v>246</v>
      </c>
    </row>
    <row r="30" spans="1:10" ht="18" customHeight="1">
      <c r="A30" s="105"/>
      <c r="B30" s="105"/>
      <c r="C30" s="63"/>
      <c r="D30" s="30" t="s">
        <v>30</v>
      </c>
      <c r="E30" s="30"/>
      <c r="F30" s="56">
        <v>31773.5</v>
      </c>
      <c r="G30" s="57">
        <f t="shared" si="3"/>
        <v>8.0112200195404846</v>
      </c>
      <c r="H30" s="56">
        <v>21127.8</v>
      </c>
      <c r="I30" s="57">
        <f t="shared" si="2"/>
        <v>50.387167618019866</v>
      </c>
      <c r="J30" s="1" t="s">
        <v>246</v>
      </c>
    </row>
    <row r="31" spans="1:10" ht="18" customHeight="1">
      <c r="A31" s="105"/>
      <c r="B31" s="105"/>
      <c r="C31" s="63"/>
      <c r="D31" s="30" t="s">
        <v>31</v>
      </c>
      <c r="E31" s="30"/>
      <c r="F31" s="56">
        <v>25733.9</v>
      </c>
      <c r="G31" s="57">
        <f t="shared" si="3"/>
        <v>6.4884238393898324</v>
      </c>
      <c r="H31" s="56">
        <v>25527.9</v>
      </c>
      <c r="I31" s="57">
        <f t="shared" si="2"/>
        <v>0.80696022782915655</v>
      </c>
      <c r="J31" s="1" t="s">
        <v>246</v>
      </c>
    </row>
    <row r="32" spans="1:10" ht="18" customHeight="1">
      <c r="A32" s="105"/>
      <c r="B32" s="105"/>
      <c r="C32" s="63"/>
      <c r="D32" s="30" t="s">
        <v>14</v>
      </c>
      <c r="E32" s="30"/>
      <c r="F32" s="56">
        <v>1163.5</v>
      </c>
      <c r="G32" s="57">
        <f t="shared" si="3"/>
        <v>0.29335938731129252</v>
      </c>
      <c r="H32" s="56">
        <v>2678.6</v>
      </c>
      <c r="I32" s="57">
        <f t="shared" si="2"/>
        <v>-56.563129993280072</v>
      </c>
      <c r="J32" s="1" t="s">
        <v>246</v>
      </c>
    </row>
    <row r="33" spans="1:10" ht="18" customHeight="1">
      <c r="A33" s="105"/>
      <c r="B33" s="105"/>
      <c r="C33" s="62"/>
      <c r="D33" s="30" t="s">
        <v>32</v>
      </c>
      <c r="E33" s="30"/>
      <c r="F33" s="56">
        <v>1319.8</v>
      </c>
      <c r="G33" s="57">
        <f t="shared" si="3"/>
        <v>0.33276813010179962</v>
      </c>
      <c r="H33" s="56">
        <v>1384.8</v>
      </c>
      <c r="I33" s="57">
        <f t="shared" si="2"/>
        <v>-4.6938186019641837</v>
      </c>
      <c r="J33" s="1" t="s">
        <v>246</v>
      </c>
    </row>
    <row r="34" spans="1:10" ht="18" customHeight="1">
      <c r="A34" s="105"/>
      <c r="B34" s="105"/>
      <c r="C34" s="64" t="s">
        <v>15</v>
      </c>
      <c r="D34" s="30"/>
      <c r="E34" s="30"/>
      <c r="F34" s="56">
        <f>F35+F38</f>
        <v>54297.600000000006</v>
      </c>
      <c r="G34" s="57">
        <f t="shared" si="3"/>
        <v>13.690340067446186</v>
      </c>
      <c r="H34" s="56">
        <f>H35+H38</f>
        <v>71563.8</v>
      </c>
      <c r="I34" s="57">
        <f t="shared" si="2"/>
        <v>-24.127002758377834</v>
      </c>
    </row>
    <row r="35" spans="1:10" ht="18" customHeight="1">
      <c r="A35" s="105"/>
      <c r="B35" s="105"/>
      <c r="C35" s="63"/>
      <c r="D35" s="64" t="s">
        <v>16</v>
      </c>
      <c r="E35" s="30"/>
      <c r="F35" s="56">
        <f>F36+F37</f>
        <v>50297.600000000006</v>
      </c>
      <c r="G35" s="57">
        <f t="shared" si="3"/>
        <v>12.681798985155538</v>
      </c>
      <c r="H35" s="56">
        <f>H36+H37</f>
        <v>68563.8</v>
      </c>
      <c r="I35" s="57">
        <f t="shared" si="2"/>
        <v>-26.641172163736549</v>
      </c>
    </row>
    <row r="36" spans="1:10" ht="18" customHeight="1">
      <c r="A36" s="105"/>
      <c r="B36" s="105"/>
      <c r="C36" s="63"/>
      <c r="D36" s="63"/>
      <c r="E36" s="58" t="s">
        <v>102</v>
      </c>
      <c r="F36" s="56">
        <v>18748.7</v>
      </c>
      <c r="G36" s="57">
        <f t="shared" si="3"/>
        <v>4.727208547385672</v>
      </c>
      <c r="H36" s="56">
        <v>47925.9</v>
      </c>
      <c r="I36" s="57">
        <f>(F36/H36-1)*100</f>
        <v>-60.879816550132595</v>
      </c>
      <c r="J36" s="1" t="s">
        <v>246</v>
      </c>
    </row>
    <row r="37" spans="1:10" ht="18" customHeight="1">
      <c r="A37" s="105"/>
      <c r="B37" s="105"/>
      <c r="C37" s="63"/>
      <c r="D37" s="62"/>
      <c r="E37" s="30" t="s">
        <v>33</v>
      </c>
      <c r="F37" s="56">
        <v>31548.9</v>
      </c>
      <c r="G37" s="57">
        <f t="shared" si="3"/>
        <v>7.9545904377698635</v>
      </c>
      <c r="H37" s="56">
        <v>20637.900000000001</v>
      </c>
      <c r="I37" s="57">
        <f t="shared" si="2"/>
        <v>52.868751181079475</v>
      </c>
      <c r="J37" s="1" t="s">
        <v>246</v>
      </c>
    </row>
    <row r="38" spans="1:10" ht="18" customHeight="1">
      <c r="A38" s="105"/>
      <c r="B38" s="105"/>
      <c r="C38" s="63"/>
      <c r="D38" s="55" t="s">
        <v>34</v>
      </c>
      <c r="E38" s="55"/>
      <c r="F38" s="56">
        <v>4000</v>
      </c>
      <c r="G38" s="57">
        <f>F38/$F$40*100</f>
        <v>1.0085410822906489</v>
      </c>
      <c r="H38" s="56">
        <v>3000</v>
      </c>
      <c r="I38" s="57">
        <f t="shared" si="2"/>
        <v>33.333333333333329</v>
      </c>
      <c r="J38" s="1" t="s">
        <v>246</v>
      </c>
    </row>
    <row r="39" spans="1:10" ht="18" customHeight="1">
      <c r="A39" s="105"/>
      <c r="B39" s="105"/>
      <c r="C39" s="62"/>
      <c r="D39" s="55" t="s">
        <v>35</v>
      </c>
      <c r="E39" s="55"/>
      <c r="F39" s="56">
        <v>0</v>
      </c>
      <c r="G39" s="57">
        <f>F39/$F$40*100</f>
        <v>0</v>
      </c>
      <c r="H39" s="56">
        <v>0</v>
      </c>
      <c r="I39" s="57" t="e">
        <f t="shared" si="2"/>
        <v>#DIV/0!</v>
      </c>
    </row>
    <row r="40" spans="1:10" ht="18" customHeight="1">
      <c r="A40" s="105"/>
      <c r="B40" s="105"/>
      <c r="C40" s="30" t="s">
        <v>17</v>
      </c>
      <c r="D40" s="30"/>
      <c r="E40" s="30"/>
      <c r="F40" s="56">
        <f>SUM(F23,F27,F34)</f>
        <v>396612.5</v>
      </c>
      <c r="G40" s="57">
        <f>F40/$F$40*100</f>
        <v>100</v>
      </c>
      <c r="H40" s="56">
        <f>SUM(H23,H27,H34)</f>
        <v>389809.60000000003</v>
      </c>
      <c r="I40" s="57">
        <f t="shared" si="2"/>
        <v>1.7451853417668417</v>
      </c>
    </row>
    <row r="41" spans="1:10" ht="18" customHeight="1">
      <c r="A41" s="26" t="s">
        <v>18</v>
      </c>
      <c r="B41" s="26"/>
    </row>
    <row r="42" spans="1:10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255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113" t="s">
        <v>44</v>
      </c>
      <c r="B6" s="112"/>
      <c r="C6" s="112"/>
      <c r="D6" s="112"/>
      <c r="E6" s="112"/>
      <c r="F6" s="120" t="s">
        <v>260</v>
      </c>
      <c r="G6" s="121"/>
      <c r="H6" s="120" t="s">
        <v>261</v>
      </c>
      <c r="I6" s="121"/>
      <c r="J6" s="120" t="s">
        <v>266</v>
      </c>
      <c r="K6" s="121"/>
      <c r="L6" s="117"/>
      <c r="M6" s="117"/>
      <c r="N6" s="117"/>
      <c r="O6" s="117"/>
    </row>
    <row r="7" spans="1:25" ht="15.95" customHeight="1">
      <c r="A7" s="112"/>
      <c r="B7" s="112"/>
      <c r="C7" s="112"/>
      <c r="D7" s="112"/>
      <c r="E7" s="112"/>
      <c r="F7" s="96" t="s">
        <v>237</v>
      </c>
      <c r="G7" s="96" t="s">
        <v>231</v>
      </c>
      <c r="H7" s="96" t="s">
        <v>234</v>
      </c>
      <c r="I7" s="96" t="s">
        <v>231</v>
      </c>
      <c r="J7" s="96" t="s">
        <v>234</v>
      </c>
      <c r="K7" s="96" t="s">
        <v>231</v>
      </c>
      <c r="L7" s="53" t="s">
        <v>234</v>
      </c>
      <c r="M7" s="53" t="s">
        <v>231</v>
      </c>
      <c r="N7" s="53" t="s">
        <v>234</v>
      </c>
      <c r="O7" s="53" t="s">
        <v>231</v>
      </c>
    </row>
    <row r="8" spans="1:25" ht="15.95" customHeight="1">
      <c r="A8" s="110" t="s">
        <v>83</v>
      </c>
      <c r="B8" s="61" t="s">
        <v>45</v>
      </c>
      <c r="C8" s="55"/>
      <c r="D8" s="55"/>
      <c r="E8" s="65" t="s">
        <v>36</v>
      </c>
      <c r="F8" s="87">
        <v>12494</v>
      </c>
      <c r="G8" s="87">
        <v>12787</v>
      </c>
      <c r="H8" s="87">
        <v>21143</v>
      </c>
      <c r="I8" s="87">
        <v>21259</v>
      </c>
      <c r="J8" s="87">
        <v>9035</v>
      </c>
      <c r="K8" s="87">
        <v>8185</v>
      </c>
      <c r="L8" s="66"/>
      <c r="M8" s="66"/>
      <c r="N8" s="66"/>
      <c r="O8" s="66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0"/>
      <c r="B9" s="63"/>
      <c r="C9" s="55" t="s">
        <v>46</v>
      </c>
      <c r="D9" s="55"/>
      <c r="E9" s="65" t="s">
        <v>37</v>
      </c>
      <c r="F9" s="87">
        <v>12494</v>
      </c>
      <c r="G9" s="87">
        <v>12590</v>
      </c>
      <c r="H9" s="87">
        <v>21130</v>
      </c>
      <c r="I9" s="87">
        <v>21246</v>
      </c>
      <c r="J9" s="87">
        <v>9033</v>
      </c>
      <c r="K9" s="87">
        <v>8172</v>
      </c>
      <c r="L9" s="66"/>
      <c r="M9" s="66"/>
      <c r="N9" s="66"/>
      <c r="O9" s="66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0"/>
      <c r="B10" s="62"/>
      <c r="C10" s="55" t="s">
        <v>47</v>
      </c>
      <c r="D10" s="55"/>
      <c r="E10" s="65" t="s">
        <v>38</v>
      </c>
      <c r="F10" s="87">
        <v>0.06</v>
      </c>
      <c r="G10" s="87">
        <v>198</v>
      </c>
      <c r="H10" s="87">
        <v>13</v>
      </c>
      <c r="I10" s="87">
        <v>13</v>
      </c>
      <c r="J10" s="99">
        <v>2</v>
      </c>
      <c r="K10" s="99">
        <v>13</v>
      </c>
      <c r="L10" s="66"/>
      <c r="M10" s="66"/>
      <c r="N10" s="66"/>
      <c r="O10" s="66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0"/>
      <c r="B11" s="61" t="s">
        <v>48</v>
      </c>
      <c r="C11" s="55"/>
      <c r="D11" s="55"/>
      <c r="E11" s="65" t="s">
        <v>39</v>
      </c>
      <c r="F11" s="87">
        <v>12619</v>
      </c>
      <c r="G11" s="87">
        <v>12779</v>
      </c>
      <c r="H11" s="87">
        <v>19298</v>
      </c>
      <c r="I11" s="87">
        <v>19000</v>
      </c>
      <c r="J11" s="87">
        <v>10080</v>
      </c>
      <c r="K11" s="87">
        <v>8665</v>
      </c>
      <c r="L11" s="66"/>
      <c r="M11" s="66"/>
      <c r="N11" s="66"/>
      <c r="O11" s="66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0"/>
      <c r="B12" s="63"/>
      <c r="C12" s="55" t="s">
        <v>49</v>
      </c>
      <c r="D12" s="55"/>
      <c r="E12" s="65" t="s">
        <v>40</v>
      </c>
      <c r="F12" s="87">
        <v>12611</v>
      </c>
      <c r="G12" s="87">
        <v>12771</v>
      </c>
      <c r="H12" s="87">
        <v>19256</v>
      </c>
      <c r="I12" s="87">
        <v>18967</v>
      </c>
      <c r="J12" s="87">
        <v>10058</v>
      </c>
      <c r="K12" s="87">
        <v>8605</v>
      </c>
      <c r="L12" s="66"/>
      <c r="M12" s="66"/>
      <c r="N12" s="66"/>
      <c r="O12" s="66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0"/>
      <c r="B13" s="62"/>
      <c r="C13" s="55" t="s">
        <v>50</v>
      </c>
      <c r="D13" s="55"/>
      <c r="E13" s="65" t="s">
        <v>41</v>
      </c>
      <c r="F13" s="87">
        <v>8</v>
      </c>
      <c r="G13" s="87">
        <v>8</v>
      </c>
      <c r="H13" s="99">
        <v>42</v>
      </c>
      <c r="I13" s="99">
        <v>33</v>
      </c>
      <c r="J13" s="99">
        <v>22</v>
      </c>
      <c r="K13" s="99">
        <v>59</v>
      </c>
      <c r="L13" s="66"/>
      <c r="M13" s="66"/>
      <c r="N13" s="66"/>
      <c r="O13" s="66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0"/>
      <c r="B14" s="55" t="s">
        <v>51</v>
      </c>
      <c r="C14" s="55"/>
      <c r="D14" s="55"/>
      <c r="E14" s="65" t="s">
        <v>87</v>
      </c>
      <c r="F14" s="87">
        <f>F9-F12</f>
        <v>-117</v>
      </c>
      <c r="G14" s="87">
        <f t="shared" ref="G14:H15" si="0">G9-G12</f>
        <v>-181</v>
      </c>
      <c r="H14" s="87">
        <f t="shared" si="0"/>
        <v>1874</v>
      </c>
      <c r="I14" s="87">
        <f>I9-I12</f>
        <v>2279</v>
      </c>
      <c r="J14" s="87">
        <f t="shared" ref="J14:K15" si="1">J9-J12</f>
        <v>-1025</v>
      </c>
      <c r="K14" s="87">
        <f t="shared" si="1"/>
        <v>-433</v>
      </c>
      <c r="L14" s="66">
        <f t="shared" ref="L14:O14" si="2">L9-L12</f>
        <v>0</v>
      </c>
      <c r="M14" s="66">
        <f t="shared" si="2"/>
        <v>0</v>
      </c>
      <c r="N14" s="66">
        <f t="shared" si="2"/>
        <v>0</v>
      </c>
      <c r="O14" s="66">
        <f t="shared" si="2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0"/>
      <c r="B15" s="55" t="s">
        <v>52</v>
      </c>
      <c r="C15" s="55"/>
      <c r="D15" s="55"/>
      <c r="E15" s="65" t="s">
        <v>88</v>
      </c>
      <c r="F15" s="87">
        <f t="shared" ref="F15:H15" si="3">F10-F13</f>
        <v>-7.94</v>
      </c>
      <c r="G15" s="87">
        <f t="shared" si="0"/>
        <v>190</v>
      </c>
      <c r="H15" s="87">
        <f t="shared" si="3"/>
        <v>-29</v>
      </c>
      <c r="I15" s="87">
        <f>I10-I13</f>
        <v>-20</v>
      </c>
      <c r="J15" s="87">
        <f t="shared" si="1"/>
        <v>-20</v>
      </c>
      <c r="K15" s="87">
        <f t="shared" si="1"/>
        <v>-46</v>
      </c>
      <c r="L15" s="66">
        <f t="shared" ref="L15:O15" si="4">L10-L13</f>
        <v>0</v>
      </c>
      <c r="M15" s="66">
        <f t="shared" si="4"/>
        <v>0</v>
      </c>
      <c r="N15" s="66">
        <f t="shared" si="4"/>
        <v>0</v>
      </c>
      <c r="O15" s="66">
        <f t="shared" si="4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0"/>
      <c r="B16" s="55" t="s">
        <v>53</v>
      </c>
      <c r="C16" s="55"/>
      <c r="D16" s="55"/>
      <c r="E16" s="65" t="s">
        <v>89</v>
      </c>
      <c r="F16" s="87">
        <f t="shared" ref="F16:K16" si="5">F8-F11</f>
        <v>-125</v>
      </c>
      <c r="G16" s="87">
        <f>G8-G11</f>
        <v>8</v>
      </c>
      <c r="H16" s="87">
        <f t="shared" si="5"/>
        <v>1845</v>
      </c>
      <c r="I16" s="87">
        <f t="shared" si="5"/>
        <v>2259</v>
      </c>
      <c r="J16" s="87">
        <f t="shared" si="5"/>
        <v>-1045</v>
      </c>
      <c r="K16" s="87">
        <f t="shared" si="5"/>
        <v>-480</v>
      </c>
      <c r="L16" s="66">
        <f t="shared" ref="L16:O16" si="6">L8-L11</f>
        <v>0</v>
      </c>
      <c r="M16" s="66">
        <f t="shared" si="6"/>
        <v>0</v>
      </c>
      <c r="N16" s="66">
        <f t="shared" si="6"/>
        <v>0</v>
      </c>
      <c r="O16" s="66">
        <f t="shared" si="6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0"/>
      <c r="B17" s="55" t="s">
        <v>54</v>
      </c>
      <c r="C17" s="55"/>
      <c r="D17" s="55"/>
      <c r="E17" s="53"/>
      <c r="F17" s="87">
        <v>0</v>
      </c>
      <c r="G17" s="87">
        <v>0</v>
      </c>
      <c r="H17" s="99">
        <v>0</v>
      </c>
      <c r="I17" s="99">
        <v>0</v>
      </c>
      <c r="J17" s="87">
        <v>0</v>
      </c>
      <c r="K17" s="87">
        <v>0</v>
      </c>
      <c r="L17" s="66"/>
      <c r="M17" s="66"/>
      <c r="N17" s="67"/>
      <c r="O17" s="6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0"/>
      <c r="B18" s="55" t="s">
        <v>55</v>
      </c>
      <c r="C18" s="55"/>
      <c r="D18" s="55"/>
      <c r="E18" s="53"/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68"/>
      <c r="M18" s="68"/>
      <c r="N18" s="68"/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0" t="s">
        <v>84</v>
      </c>
      <c r="B19" s="61" t="s">
        <v>56</v>
      </c>
      <c r="C19" s="55"/>
      <c r="D19" s="55"/>
      <c r="E19" s="65"/>
      <c r="F19" s="87">
        <v>2377</v>
      </c>
      <c r="G19" s="87">
        <v>2483</v>
      </c>
      <c r="H19" s="87">
        <v>10483</v>
      </c>
      <c r="I19" s="87">
        <v>10815</v>
      </c>
      <c r="J19" s="87">
        <v>745</v>
      </c>
      <c r="K19" s="87">
        <v>16083</v>
      </c>
      <c r="L19" s="66"/>
      <c r="M19" s="66"/>
      <c r="N19" s="66"/>
      <c r="O19" s="66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0"/>
      <c r="B20" s="62"/>
      <c r="C20" s="55" t="s">
        <v>57</v>
      </c>
      <c r="D20" s="55"/>
      <c r="E20" s="65"/>
      <c r="F20" s="87">
        <v>1640</v>
      </c>
      <c r="G20" s="87">
        <v>1579</v>
      </c>
      <c r="H20" s="87">
        <v>6306</v>
      </c>
      <c r="I20" s="87">
        <v>6887</v>
      </c>
      <c r="J20" s="87">
        <v>154</v>
      </c>
      <c r="K20" s="87">
        <v>15884</v>
      </c>
      <c r="L20" s="66"/>
      <c r="M20" s="66"/>
      <c r="N20" s="66"/>
      <c r="O20" s="66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0"/>
      <c r="B21" s="55" t="s">
        <v>58</v>
      </c>
      <c r="C21" s="55"/>
      <c r="D21" s="55"/>
      <c r="E21" s="65" t="s">
        <v>90</v>
      </c>
      <c r="F21" s="87">
        <v>2377</v>
      </c>
      <c r="G21" s="87">
        <v>2483</v>
      </c>
      <c r="H21" s="87">
        <v>10483</v>
      </c>
      <c r="I21" s="87">
        <v>10815</v>
      </c>
      <c r="J21" s="87">
        <v>745</v>
      </c>
      <c r="K21" s="87">
        <v>16083</v>
      </c>
      <c r="L21" s="66"/>
      <c r="M21" s="66"/>
      <c r="N21" s="66"/>
      <c r="O21" s="66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0"/>
      <c r="B22" s="61" t="s">
        <v>59</v>
      </c>
      <c r="C22" s="55"/>
      <c r="D22" s="55"/>
      <c r="E22" s="65" t="s">
        <v>91</v>
      </c>
      <c r="F22" s="87">
        <v>8256</v>
      </c>
      <c r="G22" s="87">
        <v>8857</v>
      </c>
      <c r="H22" s="87">
        <v>20056</v>
      </c>
      <c r="I22" s="87">
        <v>20092</v>
      </c>
      <c r="J22" s="87">
        <v>2326</v>
      </c>
      <c r="K22" s="87">
        <v>18160</v>
      </c>
      <c r="L22" s="66"/>
      <c r="M22" s="66"/>
      <c r="N22" s="66"/>
      <c r="O22" s="66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0"/>
      <c r="B23" s="62" t="s">
        <v>60</v>
      </c>
      <c r="C23" s="55" t="s">
        <v>61</v>
      </c>
      <c r="D23" s="55"/>
      <c r="E23" s="65"/>
      <c r="F23" s="87">
        <v>1640</v>
      </c>
      <c r="G23" s="87">
        <v>1777</v>
      </c>
      <c r="H23" s="87">
        <v>12163</v>
      </c>
      <c r="I23" s="87">
        <v>12189</v>
      </c>
      <c r="J23" s="87">
        <v>1658</v>
      </c>
      <c r="K23" s="87">
        <v>1415</v>
      </c>
      <c r="L23" s="66"/>
      <c r="M23" s="66"/>
      <c r="N23" s="66"/>
      <c r="O23" s="66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0"/>
      <c r="B24" s="55" t="s">
        <v>92</v>
      </c>
      <c r="C24" s="55"/>
      <c r="D24" s="55"/>
      <c r="E24" s="65" t="s">
        <v>93</v>
      </c>
      <c r="F24" s="87">
        <f t="shared" ref="F24:K24" si="7">F21-F22</f>
        <v>-5879</v>
      </c>
      <c r="G24" s="87">
        <f t="shared" si="7"/>
        <v>-6374</v>
      </c>
      <c r="H24" s="87">
        <f t="shared" si="7"/>
        <v>-9573</v>
      </c>
      <c r="I24" s="87">
        <f t="shared" si="7"/>
        <v>-9277</v>
      </c>
      <c r="J24" s="87">
        <f t="shared" si="7"/>
        <v>-1581</v>
      </c>
      <c r="K24" s="87">
        <f t="shared" si="7"/>
        <v>-2077</v>
      </c>
      <c r="L24" s="66">
        <f t="shared" ref="L24:O24" si="8">L21-L22</f>
        <v>0</v>
      </c>
      <c r="M24" s="66">
        <f t="shared" si="8"/>
        <v>0</v>
      </c>
      <c r="N24" s="66">
        <f t="shared" si="8"/>
        <v>0</v>
      </c>
      <c r="O24" s="66">
        <f t="shared" si="8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0"/>
      <c r="B25" s="61" t="s">
        <v>62</v>
      </c>
      <c r="C25" s="61"/>
      <c r="D25" s="61"/>
      <c r="E25" s="114" t="s">
        <v>94</v>
      </c>
      <c r="F25" s="108">
        <v>5879</v>
      </c>
      <c r="G25" s="108">
        <v>6374</v>
      </c>
      <c r="H25" s="108">
        <v>9573</v>
      </c>
      <c r="I25" s="108">
        <v>9277</v>
      </c>
      <c r="J25" s="108">
        <v>1581</v>
      </c>
      <c r="K25" s="108">
        <v>2077</v>
      </c>
      <c r="L25" s="122"/>
      <c r="M25" s="122"/>
      <c r="N25" s="122"/>
      <c r="O25" s="122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0"/>
      <c r="B26" s="82" t="s">
        <v>63</v>
      </c>
      <c r="C26" s="82"/>
      <c r="D26" s="82"/>
      <c r="E26" s="115"/>
      <c r="F26" s="109"/>
      <c r="G26" s="109"/>
      <c r="H26" s="109"/>
      <c r="I26" s="109"/>
      <c r="J26" s="109"/>
      <c r="K26" s="109"/>
      <c r="L26" s="123"/>
      <c r="M26" s="123"/>
      <c r="N26" s="123"/>
      <c r="O26" s="123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0"/>
      <c r="B27" s="55" t="s">
        <v>95</v>
      </c>
      <c r="C27" s="55"/>
      <c r="D27" s="55"/>
      <c r="E27" s="65" t="s">
        <v>96</v>
      </c>
      <c r="F27" s="87">
        <f t="shared" ref="F27:K27" si="9">F24+F25</f>
        <v>0</v>
      </c>
      <c r="G27" s="87">
        <f t="shared" si="9"/>
        <v>0</v>
      </c>
      <c r="H27" s="87">
        <f t="shared" si="9"/>
        <v>0</v>
      </c>
      <c r="I27" s="87">
        <f t="shared" si="9"/>
        <v>0</v>
      </c>
      <c r="J27" s="87">
        <f t="shared" si="9"/>
        <v>0</v>
      </c>
      <c r="K27" s="87">
        <f t="shared" si="9"/>
        <v>0</v>
      </c>
      <c r="L27" s="66">
        <f t="shared" ref="L27:O27" si="10">L24+L25</f>
        <v>0</v>
      </c>
      <c r="M27" s="66">
        <f t="shared" si="10"/>
        <v>0</v>
      </c>
      <c r="N27" s="66">
        <f t="shared" si="10"/>
        <v>0</v>
      </c>
      <c r="O27" s="66">
        <f t="shared" si="10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12" t="s">
        <v>64</v>
      </c>
      <c r="B30" s="112"/>
      <c r="C30" s="112"/>
      <c r="D30" s="112"/>
      <c r="E30" s="112"/>
      <c r="F30" s="118" t="s">
        <v>256</v>
      </c>
      <c r="G30" s="118"/>
      <c r="H30" s="118" t="s">
        <v>257</v>
      </c>
      <c r="I30" s="118"/>
      <c r="J30" s="118" t="s">
        <v>263</v>
      </c>
      <c r="K30" s="118"/>
      <c r="L30" s="119" t="s">
        <v>265</v>
      </c>
      <c r="M30" s="119"/>
      <c r="N30" s="119"/>
      <c r="O30" s="119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12"/>
      <c r="B31" s="112"/>
      <c r="C31" s="112"/>
      <c r="D31" s="112"/>
      <c r="E31" s="112"/>
      <c r="F31" s="96" t="s">
        <v>234</v>
      </c>
      <c r="G31" s="96" t="s">
        <v>231</v>
      </c>
      <c r="H31" s="96" t="s">
        <v>234</v>
      </c>
      <c r="I31" s="96" t="s">
        <v>231</v>
      </c>
      <c r="J31" s="96" t="s">
        <v>234</v>
      </c>
      <c r="K31" s="96" t="s">
        <v>231</v>
      </c>
      <c r="L31" s="53" t="s">
        <v>234</v>
      </c>
      <c r="M31" s="53" t="s">
        <v>231</v>
      </c>
      <c r="N31" s="53" t="s">
        <v>234</v>
      </c>
      <c r="O31" s="53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10" t="s">
        <v>85</v>
      </c>
      <c r="B32" s="61" t="s">
        <v>45</v>
      </c>
      <c r="C32" s="55"/>
      <c r="D32" s="55"/>
      <c r="E32" s="65" t="s">
        <v>36</v>
      </c>
      <c r="F32" s="87">
        <v>284</v>
      </c>
      <c r="G32" s="87">
        <v>267</v>
      </c>
      <c r="H32" s="87">
        <f>650+73</f>
        <v>723</v>
      </c>
      <c r="I32" s="87">
        <f>746+67</f>
        <v>813</v>
      </c>
      <c r="J32" s="87">
        <v>352</v>
      </c>
      <c r="K32" s="87">
        <v>331</v>
      </c>
      <c r="L32" s="87"/>
      <c r="M32" s="87">
        <v>131</v>
      </c>
      <c r="N32" s="66"/>
      <c r="O32" s="66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16"/>
      <c r="B33" s="63"/>
      <c r="C33" s="61" t="s">
        <v>65</v>
      </c>
      <c r="D33" s="55"/>
      <c r="E33" s="65"/>
      <c r="F33" s="87">
        <v>102</v>
      </c>
      <c r="G33" s="87">
        <v>118</v>
      </c>
      <c r="H33" s="87">
        <f>441+33</f>
        <v>474</v>
      </c>
      <c r="I33" s="94">
        <f>452+34</f>
        <v>486</v>
      </c>
      <c r="J33" s="87">
        <v>350</v>
      </c>
      <c r="K33" s="87">
        <v>320</v>
      </c>
      <c r="L33" s="87"/>
      <c r="M33" s="87">
        <v>32</v>
      </c>
      <c r="N33" s="66"/>
      <c r="O33" s="66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16"/>
      <c r="B34" s="63"/>
      <c r="C34" s="62"/>
      <c r="D34" s="55" t="s">
        <v>66</v>
      </c>
      <c r="E34" s="65"/>
      <c r="F34" s="87">
        <v>102</v>
      </c>
      <c r="G34" s="87">
        <v>118</v>
      </c>
      <c r="H34" s="87">
        <f>441+33</f>
        <v>474</v>
      </c>
      <c r="I34" s="94">
        <f>452+34</f>
        <v>486</v>
      </c>
      <c r="J34" s="87">
        <v>350</v>
      </c>
      <c r="K34" s="87">
        <v>320</v>
      </c>
      <c r="L34" s="87"/>
      <c r="M34" s="87">
        <v>32</v>
      </c>
      <c r="N34" s="66"/>
      <c r="O34" s="66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16"/>
      <c r="B35" s="62"/>
      <c r="C35" s="55" t="s">
        <v>67</v>
      </c>
      <c r="D35" s="55"/>
      <c r="E35" s="65"/>
      <c r="F35" s="87">
        <v>182</v>
      </c>
      <c r="G35" s="87">
        <v>149</v>
      </c>
      <c r="H35" s="87">
        <f>209+40</f>
        <v>249</v>
      </c>
      <c r="I35" s="94">
        <f>294+33</f>
        <v>327</v>
      </c>
      <c r="J35" s="95">
        <v>2</v>
      </c>
      <c r="K35" s="87">
        <v>11</v>
      </c>
      <c r="L35" s="87"/>
      <c r="M35" s="95">
        <v>99</v>
      </c>
      <c r="N35" s="66"/>
      <c r="O35" s="66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16"/>
      <c r="B36" s="61" t="s">
        <v>48</v>
      </c>
      <c r="C36" s="55"/>
      <c r="D36" s="55"/>
      <c r="E36" s="65" t="s">
        <v>37</v>
      </c>
      <c r="F36" s="87">
        <v>287</v>
      </c>
      <c r="G36" s="87">
        <v>267</v>
      </c>
      <c r="H36" s="87">
        <f>546+71</f>
        <v>617</v>
      </c>
      <c r="I36" s="94">
        <f>679+65</f>
        <v>744</v>
      </c>
      <c r="J36" s="87">
        <v>194</v>
      </c>
      <c r="K36" s="87">
        <v>151</v>
      </c>
      <c r="L36" s="87"/>
      <c r="M36" s="87">
        <v>131</v>
      </c>
      <c r="N36" s="66"/>
      <c r="O36" s="66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16"/>
      <c r="B37" s="63"/>
      <c r="C37" s="55" t="s">
        <v>68</v>
      </c>
      <c r="D37" s="55"/>
      <c r="E37" s="65"/>
      <c r="F37" s="87">
        <v>285</v>
      </c>
      <c r="G37" s="87">
        <v>265</v>
      </c>
      <c r="H37" s="87">
        <f>518+70</f>
        <v>588</v>
      </c>
      <c r="I37" s="94">
        <f>665+64</f>
        <v>729</v>
      </c>
      <c r="J37" s="87">
        <v>192.5</v>
      </c>
      <c r="K37" s="87">
        <v>150.4</v>
      </c>
      <c r="L37" s="87"/>
      <c r="M37" s="87">
        <v>123</v>
      </c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16"/>
      <c r="B38" s="62"/>
      <c r="C38" s="55" t="s">
        <v>69</v>
      </c>
      <c r="D38" s="55"/>
      <c r="E38" s="65"/>
      <c r="F38" s="87">
        <v>2</v>
      </c>
      <c r="G38" s="87">
        <v>2</v>
      </c>
      <c r="H38" s="87">
        <f>28+1</f>
        <v>29</v>
      </c>
      <c r="I38" s="94">
        <f>14+1</f>
        <v>15</v>
      </c>
      <c r="J38" s="87">
        <v>0.5</v>
      </c>
      <c r="K38" s="87">
        <v>0.5</v>
      </c>
      <c r="L38" s="87"/>
      <c r="M38" s="95">
        <v>8</v>
      </c>
      <c r="N38" s="66"/>
      <c r="O38" s="66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16"/>
      <c r="B39" s="30" t="s">
        <v>70</v>
      </c>
      <c r="C39" s="30"/>
      <c r="D39" s="30"/>
      <c r="E39" s="65" t="s">
        <v>97</v>
      </c>
      <c r="F39" s="87">
        <f t="shared" ref="F39:M39" si="11">F32-F36</f>
        <v>-3</v>
      </c>
      <c r="G39" s="87">
        <f t="shared" si="11"/>
        <v>0</v>
      </c>
      <c r="H39" s="87">
        <f>H32-H36</f>
        <v>106</v>
      </c>
      <c r="I39" s="87">
        <f t="shared" si="11"/>
        <v>69</v>
      </c>
      <c r="J39" s="87">
        <f t="shared" si="11"/>
        <v>158</v>
      </c>
      <c r="K39" s="87">
        <f t="shared" si="11"/>
        <v>180</v>
      </c>
      <c r="L39" s="87">
        <f t="shared" si="11"/>
        <v>0</v>
      </c>
      <c r="M39" s="87">
        <f t="shared" si="11"/>
        <v>0</v>
      </c>
      <c r="N39" s="66">
        <f t="shared" ref="N39:O39" si="12">N32-N36</f>
        <v>0</v>
      </c>
      <c r="O39" s="66">
        <f t="shared" si="12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10" t="s">
        <v>86</v>
      </c>
      <c r="B40" s="61" t="s">
        <v>71</v>
      </c>
      <c r="C40" s="55"/>
      <c r="D40" s="55"/>
      <c r="E40" s="65" t="s">
        <v>39</v>
      </c>
      <c r="F40" s="87">
        <v>30</v>
      </c>
      <c r="G40" s="87">
        <v>28</v>
      </c>
      <c r="H40" s="87">
        <v>90</v>
      </c>
      <c r="I40" s="87">
        <v>0</v>
      </c>
      <c r="J40" s="87">
        <v>0</v>
      </c>
      <c r="K40" s="87">
        <v>0</v>
      </c>
      <c r="L40" s="87"/>
      <c r="M40" s="87">
        <v>64</v>
      </c>
      <c r="N40" s="66"/>
      <c r="O40" s="66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11"/>
      <c r="B41" s="62"/>
      <c r="C41" s="55" t="s">
        <v>72</v>
      </c>
      <c r="D41" s="55"/>
      <c r="E41" s="65"/>
      <c r="F41" s="95">
        <v>0</v>
      </c>
      <c r="G41" s="95">
        <v>0</v>
      </c>
      <c r="H41" s="95">
        <v>0</v>
      </c>
      <c r="I41" s="95">
        <v>0</v>
      </c>
      <c r="J41" s="87">
        <v>0</v>
      </c>
      <c r="K41" s="95">
        <v>0</v>
      </c>
      <c r="L41" s="87"/>
      <c r="M41" s="87">
        <v>2</v>
      </c>
      <c r="N41" s="66"/>
      <c r="O41" s="66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11"/>
      <c r="B42" s="61" t="s">
        <v>59</v>
      </c>
      <c r="C42" s="55"/>
      <c r="D42" s="55"/>
      <c r="E42" s="65" t="s">
        <v>40</v>
      </c>
      <c r="F42" s="87">
        <v>30</v>
      </c>
      <c r="G42" s="87">
        <v>28</v>
      </c>
      <c r="H42" s="87">
        <f>64+11</f>
        <v>75</v>
      </c>
      <c r="I42" s="94">
        <f>31+11</f>
        <v>42</v>
      </c>
      <c r="J42" s="87">
        <v>36.299999999999997</v>
      </c>
      <c r="K42" s="87">
        <v>36.200000000000003</v>
      </c>
      <c r="L42" s="87"/>
      <c r="M42" s="87">
        <v>64</v>
      </c>
      <c r="N42" s="66"/>
      <c r="O42" s="66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11"/>
      <c r="B43" s="62"/>
      <c r="C43" s="55" t="s">
        <v>73</v>
      </c>
      <c r="D43" s="55"/>
      <c r="E43" s="65"/>
      <c r="F43" s="87">
        <v>12</v>
      </c>
      <c r="G43" s="87">
        <v>12</v>
      </c>
      <c r="H43" s="87">
        <f>32+5</f>
        <v>37</v>
      </c>
      <c r="I43" s="94">
        <f>31+4</f>
        <v>35</v>
      </c>
      <c r="J43" s="95">
        <v>9</v>
      </c>
      <c r="K43" s="87">
        <v>8.9</v>
      </c>
      <c r="L43" s="87"/>
      <c r="M43" s="95">
        <v>62</v>
      </c>
      <c r="N43" s="66"/>
      <c r="O43" s="66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11"/>
      <c r="B44" s="55" t="s">
        <v>70</v>
      </c>
      <c r="C44" s="55"/>
      <c r="D44" s="55"/>
      <c r="E44" s="65" t="s">
        <v>98</v>
      </c>
      <c r="F44" s="95">
        <f t="shared" ref="F44:I44" si="13">F40-F42</f>
        <v>0</v>
      </c>
      <c r="G44" s="95">
        <f t="shared" si="13"/>
        <v>0</v>
      </c>
      <c r="H44" s="95">
        <f>H40-H42</f>
        <v>15</v>
      </c>
      <c r="I44" s="95">
        <f t="shared" si="13"/>
        <v>-42</v>
      </c>
      <c r="J44" s="95">
        <f>J40-J42</f>
        <v>-36.299999999999997</v>
      </c>
      <c r="K44" s="95">
        <f t="shared" ref="K44:M44" si="14">K40-K42</f>
        <v>-36.200000000000003</v>
      </c>
      <c r="L44" s="95">
        <f t="shared" si="14"/>
        <v>0</v>
      </c>
      <c r="M44" s="95">
        <f t="shared" si="14"/>
        <v>0</v>
      </c>
      <c r="N44" s="68">
        <f t="shared" ref="N44:O44" si="15">N40-N42</f>
        <v>0</v>
      </c>
      <c r="O44" s="68">
        <f t="shared" si="15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10" t="s">
        <v>78</v>
      </c>
      <c r="B45" s="30" t="s">
        <v>74</v>
      </c>
      <c r="C45" s="30"/>
      <c r="D45" s="30"/>
      <c r="E45" s="65" t="s">
        <v>99</v>
      </c>
      <c r="F45" s="87">
        <f t="shared" ref="F45:J45" si="16">F39+F44</f>
        <v>-3</v>
      </c>
      <c r="G45" s="87">
        <f t="shared" si="16"/>
        <v>0</v>
      </c>
      <c r="H45" s="87">
        <f t="shared" si="16"/>
        <v>121</v>
      </c>
      <c r="I45" s="87">
        <f t="shared" si="16"/>
        <v>27</v>
      </c>
      <c r="J45" s="87">
        <f t="shared" si="16"/>
        <v>121.7</v>
      </c>
      <c r="K45" s="87">
        <f>K39+K44</f>
        <v>143.80000000000001</v>
      </c>
      <c r="L45" s="87">
        <f t="shared" ref="L45:M45" si="17">L39+L44</f>
        <v>0</v>
      </c>
      <c r="M45" s="87">
        <f t="shared" si="17"/>
        <v>0</v>
      </c>
      <c r="N45" s="66">
        <f t="shared" ref="N45:O45" si="18">N39+N44</f>
        <v>0</v>
      </c>
      <c r="O45" s="66">
        <f t="shared" si="18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11"/>
      <c r="B46" s="55" t="s">
        <v>75</v>
      </c>
      <c r="C46" s="55"/>
      <c r="D46" s="55"/>
      <c r="E46" s="55"/>
      <c r="F46" s="95">
        <v>0</v>
      </c>
      <c r="G46" s="95">
        <v>0</v>
      </c>
      <c r="H46" s="95">
        <f>41+0</f>
        <v>41</v>
      </c>
      <c r="I46" s="95">
        <f>37+0</f>
        <v>37</v>
      </c>
      <c r="J46" s="95">
        <v>104</v>
      </c>
      <c r="K46" s="95">
        <v>111.8</v>
      </c>
      <c r="L46" s="87"/>
      <c r="M46" s="95">
        <v>0</v>
      </c>
      <c r="N46" s="68"/>
      <c r="O46" s="68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11"/>
      <c r="B47" s="55" t="s">
        <v>76</v>
      </c>
      <c r="C47" s="55"/>
      <c r="D47" s="55"/>
      <c r="E47" s="55"/>
      <c r="F47" s="87"/>
      <c r="G47" s="95"/>
      <c r="H47" s="87"/>
      <c r="I47" s="87"/>
      <c r="J47" s="87"/>
      <c r="K47" s="87"/>
      <c r="L47" s="87"/>
      <c r="M47" s="87"/>
      <c r="N47" s="66"/>
      <c r="O47" s="66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11"/>
      <c r="B48" s="55" t="s">
        <v>77</v>
      </c>
      <c r="C48" s="55"/>
      <c r="D48" s="55"/>
      <c r="E48" s="55"/>
      <c r="F48" s="87"/>
      <c r="G48" s="95"/>
      <c r="H48" s="87"/>
      <c r="I48" s="87"/>
      <c r="J48" s="87"/>
      <c r="K48" s="87"/>
      <c r="L48" s="87"/>
      <c r="M48" s="87"/>
      <c r="N48" s="66"/>
      <c r="O48" s="66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104" t="s">
        <v>0</v>
      </c>
      <c r="B1" s="104"/>
      <c r="C1" s="104"/>
      <c r="D1" s="104"/>
      <c r="E1" s="20" t="s">
        <v>250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106" t="s">
        <v>106</v>
      </c>
      <c r="H6" s="107"/>
      <c r="I6" s="107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9"/>
      <c r="F7" s="51" t="s">
        <v>239</v>
      </c>
      <c r="G7" s="51"/>
      <c r="H7" s="51" t="s">
        <v>241</v>
      </c>
      <c r="I7" s="69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00000000000001" customHeight="1">
      <c r="A8" s="5"/>
      <c r="B8" s="6"/>
      <c r="C8" s="6"/>
      <c r="D8" s="6"/>
      <c r="E8" s="60"/>
      <c r="F8" s="53" t="s">
        <v>230</v>
      </c>
      <c r="G8" s="53" t="s">
        <v>1</v>
      </c>
      <c r="H8" s="53" t="s">
        <v>230</v>
      </c>
      <c r="I8" s="54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105" t="s">
        <v>79</v>
      </c>
      <c r="B9" s="105" t="s">
        <v>80</v>
      </c>
      <c r="C9" s="61" t="s">
        <v>2</v>
      </c>
      <c r="D9" s="55"/>
      <c r="E9" s="55"/>
      <c r="F9" s="56">
        <v>150582</v>
      </c>
      <c r="G9" s="57">
        <f t="shared" ref="G9:G22" si="0">F9/$F$22*100</f>
        <v>38.025210243185896</v>
      </c>
      <c r="H9" s="56">
        <v>145001.20000000001</v>
      </c>
      <c r="I9" s="57">
        <f>(F9/H9-1)*100</f>
        <v>3.84879573410426</v>
      </c>
      <c r="J9" s="35" t="s">
        <v>251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105"/>
      <c r="B10" s="105"/>
      <c r="C10" s="63"/>
      <c r="D10" s="61" t="s">
        <v>21</v>
      </c>
      <c r="E10" s="55"/>
      <c r="F10" s="56">
        <v>74797.600000000006</v>
      </c>
      <c r="G10" s="57">
        <f t="shared" si="0"/>
        <v>18.888010955397867</v>
      </c>
      <c r="H10" s="56">
        <v>72309</v>
      </c>
      <c r="I10" s="57">
        <f t="shared" ref="I10:I40" si="1">(F10/H10-1)*100</f>
        <v>3.4416186090251655</v>
      </c>
      <c r="J10" s="35" t="s">
        <v>251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105"/>
      <c r="B11" s="105"/>
      <c r="C11" s="50"/>
      <c r="D11" s="50"/>
      <c r="E11" s="30" t="s">
        <v>22</v>
      </c>
      <c r="F11" s="56">
        <v>62582.8</v>
      </c>
      <c r="G11" s="57">
        <f t="shared" si="0"/>
        <v>15.803509898973678</v>
      </c>
      <c r="H11" s="56">
        <v>62187.7</v>
      </c>
      <c r="I11" s="57">
        <f t="shared" si="1"/>
        <v>0.63533464012981433</v>
      </c>
      <c r="J11" s="35" t="s">
        <v>252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105"/>
      <c r="B12" s="105"/>
      <c r="C12" s="50"/>
      <c r="D12" s="29"/>
      <c r="E12" s="30" t="s">
        <v>23</v>
      </c>
      <c r="F12" s="56">
        <v>7555.1</v>
      </c>
      <c r="G12" s="57">
        <f t="shared" si="0"/>
        <v>1.907826074220649</v>
      </c>
      <c r="H12" s="56">
        <v>5062.3999999999996</v>
      </c>
      <c r="I12" s="57">
        <f t="shared" si="1"/>
        <v>49.239491150442504</v>
      </c>
      <c r="J12" s="35" t="s">
        <v>252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105"/>
      <c r="B13" s="105"/>
      <c r="C13" s="62"/>
      <c r="D13" s="55" t="s">
        <v>24</v>
      </c>
      <c r="E13" s="55"/>
      <c r="F13" s="56">
        <v>55091.8</v>
      </c>
      <c r="G13" s="57">
        <f t="shared" si="0"/>
        <v>13.911870460450446</v>
      </c>
      <c r="H13" s="56">
        <v>52735.4</v>
      </c>
      <c r="I13" s="57">
        <f t="shared" si="1"/>
        <v>4.4683457411909266</v>
      </c>
      <c r="J13" s="35" t="s">
        <v>251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105"/>
      <c r="B14" s="105"/>
      <c r="C14" s="55" t="s">
        <v>3</v>
      </c>
      <c r="D14" s="55"/>
      <c r="E14" s="55"/>
      <c r="F14" s="56">
        <v>3680.5</v>
      </c>
      <c r="G14" s="57">
        <f t="shared" si="0"/>
        <v>0.92940581410823131</v>
      </c>
      <c r="H14" s="56">
        <v>3684</v>
      </c>
      <c r="I14" s="57">
        <f t="shared" si="1"/>
        <v>-9.5005428881644871E-2</v>
      </c>
      <c r="J14" s="35" t="s">
        <v>251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105"/>
      <c r="B15" s="105"/>
      <c r="C15" s="55" t="s">
        <v>4</v>
      </c>
      <c r="D15" s="55"/>
      <c r="E15" s="55"/>
      <c r="F15" s="56">
        <v>33647.800000000003</v>
      </c>
      <c r="G15" s="57">
        <f t="shared" si="0"/>
        <v>8.4967968895397235</v>
      </c>
      <c r="H15" s="56">
        <v>35026.199999999997</v>
      </c>
      <c r="I15" s="57">
        <f t="shared" si="1"/>
        <v>-3.9353398313262455</v>
      </c>
      <c r="J15" s="35" t="s">
        <v>251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105"/>
      <c r="B16" s="105"/>
      <c r="C16" s="55" t="s">
        <v>25</v>
      </c>
      <c r="D16" s="55"/>
      <c r="E16" s="55"/>
      <c r="F16" s="56">
        <v>4206.7</v>
      </c>
      <c r="G16" s="57">
        <f t="shared" si="0"/>
        <v>1.0622826893653299</v>
      </c>
      <c r="H16" s="56">
        <v>4239.5</v>
      </c>
      <c r="I16" s="57">
        <f t="shared" si="1"/>
        <v>-0.7736761410543691</v>
      </c>
      <c r="J16" s="35" t="s">
        <v>251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105"/>
      <c r="B17" s="105"/>
      <c r="C17" s="55" t="s">
        <v>5</v>
      </c>
      <c r="D17" s="55"/>
      <c r="E17" s="55"/>
      <c r="F17" s="56">
        <v>82774.600000000006</v>
      </c>
      <c r="G17" s="57">
        <f t="shared" si="0"/>
        <v>20.902375900144875</v>
      </c>
      <c r="H17" s="56">
        <v>94136.7</v>
      </c>
      <c r="I17" s="57">
        <f t="shared" si="1"/>
        <v>-12.069787872317583</v>
      </c>
      <c r="J17" s="35" t="s">
        <v>251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105"/>
      <c r="B18" s="105"/>
      <c r="C18" s="55" t="s">
        <v>26</v>
      </c>
      <c r="D18" s="55"/>
      <c r="E18" s="55"/>
      <c r="F18" s="56">
        <v>20132.099999999999</v>
      </c>
      <c r="G18" s="57">
        <f t="shared" si="0"/>
        <v>5.0837904605918558</v>
      </c>
      <c r="H18" s="56">
        <v>22230.5</v>
      </c>
      <c r="I18" s="57">
        <f t="shared" si="1"/>
        <v>-9.4392838667596397</v>
      </c>
      <c r="J18" s="35" t="s">
        <v>251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105"/>
      <c r="B19" s="105"/>
      <c r="C19" s="55" t="s">
        <v>27</v>
      </c>
      <c r="D19" s="55"/>
      <c r="E19" s="55"/>
      <c r="F19" s="56">
        <v>589.70000000000005</v>
      </c>
      <c r="G19" s="57">
        <f t="shared" si="0"/>
        <v>0.14891199798386742</v>
      </c>
      <c r="H19" s="56">
        <v>2002.6</v>
      </c>
      <c r="I19" s="57">
        <f t="shared" si="1"/>
        <v>-70.553280735044439</v>
      </c>
      <c r="J19" s="35" t="s">
        <v>251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105"/>
      <c r="B20" s="105"/>
      <c r="C20" s="55" t="s">
        <v>6</v>
      </c>
      <c r="D20" s="55"/>
      <c r="E20" s="55"/>
      <c r="F20" s="56">
        <v>34406.300000000003</v>
      </c>
      <c r="G20" s="57">
        <f t="shared" si="0"/>
        <v>8.6883345365988429</v>
      </c>
      <c r="H20" s="56">
        <v>29461.8</v>
      </c>
      <c r="I20" s="57">
        <f t="shared" si="1"/>
        <v>16.782749187082956</v>
      </c>
      <c r="J20" s="35" t="s">
        <v>251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105"/>
      <c r="B21" s="105"/>
      <c r="C21" s="55" t="s">
        <v>7</v>
      </c>
      <c r="D21" s="55"/>
      <c r="E21" s="55"/>
      <c r="F21" s="56">
        <v>65986</v>
      </c>
      <c r="G21" s="57">
        <f t="shared" si="0"/>
        <v>16.662891468481391</v>
      </c>
      <c r="H21" s="56">
        <v>58819</v>
      </c>
      <c r="I21" s="57">
        <f t="shared" si="1"/>
        <v>12.184838232543903</v>
      </c>
      <c r="J21" s="1" t="s">
        <v>247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105"/>
      <c r="B22" s="105"/>
      <c r="C22" s="55" t="s">
        <v>8</v>
      </c>
      <c r="D22" s="55"/>
      <c r="E22" s="55"/>
      <c r="F22" s="56">
        <f>SUM(F9,F14:F21)</f>
        <v>396005.69999999995</v>
      </c>
      <c r="G22" s="57">
        <f t="shared" si="0"/>
        <v>100</v>
      </c>
      <c r="H22" s="56">
        <f>SUM(H9,H14:H21)</f>
        <v>394601.5</v>
      </c>
      <c r="I22" s="57">
        <f t="shared" si="1"/>
        <v>0.35585267668774012</v>
      </c>
      <c r="J22" s="35" t="s">
        <v>251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105"/>
      <c r="B23" s="105" t="s">
        <v>81</v>
      </c>
      <c r="C23" s="64" t="s">
        <v>9</v>
      </c>
      <c r="D23" s="30"/>
      <c r="E23" s="30"/>
      <c r="F23" s="56">
        <f>F24+F25+F26</f>
        <v>201625.8</v>
      </c>
      <c r="G23" s="57">
        <f t="shared" ref="G23:G40" si="2">F23/$F$40*100</f>
        <v>52.891712567178438</v>
      </c>
      <c r="H23" s="56">
        <f>H24+H25+H26</f>
        <v>214150.8</v>
      </c>
      <c r="I23" s="57">
        <f t="shared" si="1"/>
        <v>-5.8486823303952162</v>
      </c>
      <c r="J23" s="35" t="s">
        <v>251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105"/>
      <c r="B24" s="105"/>
      <c r="C24" s="63"/>
      <c r="D24" s="30" t="s">
        <v>10</v>
      </c>
      <c r="E24" s="30"/>
      <c r="F24" s="56">
        <v>79907.7</v>
      </c>
      <c r="G24" s="57">
        <f t="shared" si="2"/>
        <v>20.96187640819937</v>
      </c>
      <c r="H24" s="56">
        <v>79224.899999999994</v>
      </c>
      <c r="I24" s="57">
        <f t="shared" si="1"/>
        <v>0.86185025162544004</v>
      </c>
      <c r="J24" s="35" t="s">
        <v>251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105"/>
      <c r="B25" s="105"/>
      <c r="C25" s="63"/>
      <c r="D25" s="30" t="s">
        <v>28</v>
      </c>
      <c r="E25" s="30"/>
      <c r="F25" s="56">
        <v>86402.1</v>
      </c>
      <c r="G25" s="57">
        <f t="shared" si="2"/>
        <v>22.665527122028077</v>
      </c>
      <c r="H25" s="56">
        <v>96461.9</v>
      </c>
      <c r="I25" s="57">
        <f t="shared" si="1"/>
        <v>-10.428780689577943</v>
      </c>
      <c r="J25" s="35" t="s">
        <v>251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105"/>
      <c r="B26" s="105"/>
      <c r="C26" s="62"/>
      <c r="D26" s="30" t="s">
        <v>11</v>
      </c>
      <c r="E26" s="30"/>
      <c r="F26" s="56">
        <v>35316</v>
      </c>
      <c r="G26" s="57">
        <f t="shared" si="2"/>
        <v>9.2643090369509942</v>
      </c>
      <c r="H26" s="56">
        <v>38464</v>
      </c>
      <c r="I26" s="57">
        <f t="shared" si="1"/>
        <v>-8.1842762063227941</v>
      </c>
      <c r="J26" s="35" t="s">
        <v>251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105"/>
      <c r="B27" s="105"/>
      <c r="C27" s="64" t="s">
        <v>12</v>
      </c>
      <c r="D27" s="30"/>
      <c r="E27" s="30"/>
      <c r="F27" s="56">
        <f>F28+F29+F30+F31+F32+F33</f>
        <v>123376.49999999999</v>
      </c>
      <c r="G27" s="57">
        <f t="shared" si="2"/>
        <v>32.364877786198441</v>
      </c>
      <c r="H27" s="56">
        <f>H28+H29+H30+H31+H32+H33</f>
        <v>120789.99999999999</v>
      </c>
      <c r="I27" s="57">
        <f t="shared" si="1"/>
        <v>2.1413196456660399</v>
      </c>
      <c r="J27" s="35" t="s">
        <v>251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105"/>
      <c r="B28" s="105"/>
      <c r="C28" s="63"/>
      <c r="D28" s="30" t="s">
        <v>13</v>
      </c>
      <c r="E28" s="30"/>
      <c r="F28" s="56">
        <v>56045</v>
      </c>
      <c r="G28" s="57">
        <f t="shared" si="2"/>
        <v>14.702067051079357</v>
      </c>
      <c r="H28" s="56">
        <v>52016.9</v>
      </c>
      <c r="I28" s="57">
        <f t="shared" si="1"/>
        <v>7.7438294092881277</v>
      </c>
      <c r="J28" s="35" t="s">
        <v>251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105"/>
      <c r="B29" s="105"/>
      <c r="C29" s="63"/>
      <c r="D29" s="30" t="s">
        <v>29</v>
      </c>
      <c r="E29" s="30"/>
      <c r="F29" s="56">
        <v>7764.7</v>
      </c>
      <c r="G29" s="57">
        <f t="shared" si="2"/>
        <v>2.0368835762604309</v>
      </c>
      <c r="H29" s="56">
        <v>6908.2</v>
      </c>
      <c r="I29" s="57">
        <f t="shared" si="1"/>
        <v>12.398309255667183</v>
      </c>
      <c r="J29" s="35" t="s">
        <v>251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105"/>
      <c r="B30" s="105"/>
      <c r="C30" s="63"/>
      <c r="D30" s="30" t="s">
        <v>30</v>
      </c>
      <c r="E30" s="30"/>
      <c r="F30" s="56">
        <v>26257.1</v>
      </c>
      <c r="G30" s="57">
        <f t="shared" si="2"/>
        <v>6.8879230041376704</v>
      </c>
      <c r="H30" s="56">
        <v>21873.8</v>
      </c>
      <c r="I30" s="57">
        <f t="shared" si="1"/>
        <v>20.039042141740349</v>
      </c>
      <c r="J30" s="35" t="s">
        <v>251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105"/>
      <c r="B31" s="105"/>
      <c r="C31" s="63"/>
      <c r="D31" s="30" t="s">
        <v>31</v>
      </c>
      <c r="E31" s="30"/>
      <c r="F31" s="56">
        <v>25580.799999999999</v>
      </c>
      <c r="G31" s="57">
        <f t="shared" si="2"/>
        <v>6.7105118533366177</v>
      </c>
      <c r="H31" s="56">
        <v>25101.9</v>
      </c>
      <c r="I31" s="57">
        <f t="shared" si="1"/>
        <v>1.9078237105557561</v>
      </c>
      <c r="J31" s="35" t="s">
        <v>251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105"/>
      <c r="B32" s="105"/>
      <c r="C32" s="63"/>
      <c r="D32" s="30" t="s">
        <v>14</v>
      </c>
      <c r="E32" s="30"/>
      <c r="F32" s="56">
        <v>6567.7</v>
      </c>
      <c r="G32" s="57">
        <f t="shared" si="2"/>
        <v>1.7228792179743755</v>
      </c>
      <c r="H32" s="56">
        <v>13703.5</v>
      </c>
      <c r="I32" s="57">
        <f t="shared" si="1"/>
        <v>-52.07282810960703</v>
      </c>
      <c r="J32" s="35" t="s">
        <v>251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105"/>
      <c r="B33" s="105"/>
      <c r="C33" s="62"/>
      <c r="D33" s="30" t="s">
        <v>32</v>
      </c>
      <c r="E33" s="30"/>
      <c r="F33" s="56">
        <v>1161.2</v>
      </c>
      <c r="G33" s="57">
        <f t="shared" si="2"/>
        <v>0.30461308340999821</v>
      </c>
      <c r="H33" s="56">
        <v>1185.7</v>
      </c>
      <c r="I33" s="57">
        <f t="shared" si="1"/>
        <v>-2.0662899553006708</v>
      </c>
      <c r="J33" s="35" t="s">
        <v>251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105"/>
      <c r="B34" s="105"/>
      <c r="C34" s="64" t="s">
        <v>15</v>
      </c>
      <c r="D34" s="30"/>
      <c r="E34" s="30"/>
      <c r="F34" s="56">
        <f>F35+F38</f>
        <v>56202.6</v>
      </c>
      <c r="G34" s="57">
        <f t="shared" si="2"/>
        <v>14.743409646623116</v>
      </c>
      <c r="H34" s="56">
        <f>H35+H38</f>
        <v>48312.2</v>
      </c>
      <c r="I34" s="57">
        <f t="shared" si="1"/>
        <v>16.332106590053861</v>
      </c>
      <c r="J34" s="35" t="s">
        <v>251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105"/>
      <c r="B35" s="105"/>
      <c r="C35" s="63"/>
      <c r="D35" s="64" t="s">
        <v>16</v>
      </c>
      <c r="E35" s="30"/>
      <c r="F35" s="56">
        <v>52453.2</v>
      </c>
      <c r="G35" s="57">
        <f t="shared" si="2"/>
        <v>13.759844115330102</v>
      </c>
      <c r="H35" s="56">
        <v>45842.2</v>
      </c>
      <c r="I35" s="57">
        <f t="shared" si="1"/>
        <v>14.421210151345276</v>
      </c>
      <c r="J35" s="35" t="s">
        <v>251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105"/>
      <c r="B36" s="105"/>
      <c r="C36" s="63"/>
      <c r="D36" s="63"/>
      <c r="E36" s="58" t="s">
        <v>102</v>
      </c>
      <c r="F36" s="56">
        <v>22330.799999999999</v>
      </c>
      <c r="G36" s="57">
        <f t="shared" si="2"/>
        <v>5.8579519833034679</v>
      </c>
      <c r="H36" s="56">
        <v>21064.799999999999</v>
      </c>
      <c r="I36" s="57">
        <f t="shared" si="1"/>
        <v>6.0100262048536024</v>
      </c>
      <c r="J36" s="35" t="s">
        <v>251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105"/>
      <c r="B37" s="105"/>
      <c r="C37" s="63"/>
      <c r="D37" s="62"/>
      <c r="E37" s="30" t="s">
        <v>33</v>
      </c>
      <c r="F37" s="56">
        <v>28346.400000000001</v>
      </c>
      <c r="G37" s="57">
        <f t="shared" si="2"/>
        <v>7.4360009538177509</v>
      </c>
      <c r="H37" s="56">
        <v>23304.1</v>
      </c>
      <c r="I37" s="57">
        <f t="shared" si="1"/>
        <v>21.63696516921916</v>
      </c>
      <c r="J37" s="35" t="s">
        <v>251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105"/>
      <c r="B38" s="105"/>
      <c r="C38" s="63"/>
      <c r="D38" s="55" t="s">
        <v>34</v>
      </c>
      <c r="E38" s="55"/>
      <c r="F38" s="56">
        <v>3749.4</v>
      </c>
      <c r="G38" s="57">
        <f t="shared" si="2"/>
        <v>0.98356553129301338</v>
      </c>
      <c r="H38" s="56">
        <v>2470</v>
      </c>
      <c r="I38" s="57">
        <f t="shared" si="1"/>
        <v>51.797570850202426</v>
      </c>
      <c r="J38" s="35" t="s">
        <v>251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105"/>
      <c r="B39" s="105"/>
      <c r="C39" s="62"/>
      <c r="D39" s="55" t="s">
        <v>35</v>
      </c>
      <c r="E39" s="55"/>
      <c r="F39" s="56">
        <v>0</v>
      </c>
      <c r="G39" s="57">
        <f t="shared" si="2"/>
        <v>0</v>
      </c>
      <c r="H39" s="56">
        <v>0</v>
      </c>
      <c r="I39" s="57" t="e">
        <f t="shared" si="1"/>
        <v>#DIV/0!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105"/>
      <c r="B40" s="105"/>
      <c r="C40" s="30" t="s">
        <v>17</v>
      </c>
      <c r="D40" s="30"/>
      <c r="E40" s="30"/>
      <c r="F40" s="56">
        <f>SUM(F23,F27,F34)</f>
        <v>381204.89999999997</v>
      </c>
      <c r="G40" s="57">
        <f t="shared" si="2"/>
        <v>100</v>
      </c>
      <c r="H40" s="56">
        <f>SUM(H23,H27,H34)</f>
        <v>383253</v>
      </c>
      <c r="I40" s="57">
        <f t="shared" si="1"/>
        <v>-0.53439894795345166</v>
      </c>
      <c r="J40" s="35" t="s">
        <v>251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="85" zoomScaleNormal="100" zoomScaleSheetLayoutView="85" workbookViewId="0">
      <pane xSplit="4" ySplit="6" topLeftCell="E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10" ht="33.950000000000003" customHeight="1">
      <c r="A1" s="36" t="s">
        <v>0</v>
      </c>
      <c r="B1" s="36"/>
      <c r="C1" s="20" t="s">
        <v>250</v>
      </c>
      <c r="D1" s="37"/>
      <c r="E1" s="37"/>
    </row>
    <row r="4" spans="1:10">
      <c r="A4" s="9" t="s">
        <v>107</v>
      </c>
    </row>
    <row r="5" spans="1:10">
      <c r="I5" s="38" t="s">
        <v>108</v>
      </c>
    </row>
    <row r="6" spans="1:10" s="32" customFormat="1" ht="29.25" customHeight="1">
      <c r="A6" s="70" t="s">
        <v>109</v>
      </c>
      <c r="B6" s="51"/>
      <c r="C6" s="51"/>
      <c r="D6" s="51"/>
      <c r="E6" s="28" t="s">
        <v>226</v>
      </c>
      <c r="F6" s="28" t="s">
        <v>227</v>
      </c>
      <c r="G6" s="28" t="s">
        <v>228</v>
      </c>
      <c r="H6" s="28" t="s">
        <v>232</v>
      </c>
      <c r="I6" s="28" t="s">
        <v>242</v>
      </c>
    </row>
    <row r="7" spans="1:10" ht="27" customHeight="1">
      <c r="A7" s="105" t="s">
        <v>110</v>
      </c>
      <c r="B7" s="61" t="s">
        <v>111</v>
      </c>
      <c r="C7" s="55"/>
      <c r="D7" s="65" t="s">
        <v>112</v>
      </c>
      <c r="E7" s="93">
        <v>338871</v>
      </c>
      <c r="F7" s="93">
        <v>359322.12599999999</v>
      </c>
      <c r="G7" s="93">
        <v>451429</v>
      </c>
      <c r="H7" s="93">
        <v>394601.5</v>
      </c>
      <c r="I7" s="28">
        <v>396006.3</v>
      </c>
      <c r="J7" s="1" t="s">
        <v>251</v>
      </c>
    </row>
    <row r="8" spans="1:10" ht="27" customHeight="1">
      <c r="A8" s="105"/>
      <c r="B8" s="82"/>
      <c r="C8" s="55" t="s">
        <v>113</v>
      </c>
      <c r="D8" s="65" t="s">
        <v>37</v>
      </c>
      <c r="E8" s="92">
        <v>245384</v>
      </c>
      <c r="F8" s="92">
        <v>247225.549</v>
      </c>
      <c r="G8" s="72">
        <v>196597.4</v>
      </c>
      <c r="H8" s="72">
        <v>209103</v>
      </c>
      <c r="I8" s="72">
        <v>211391.3</v>
      </c>
      <c r="J8" s="1" t="s">
        <v>251</v>
      </c>
    </row>
    <row r="9" spans="1:10" ht="27" customHeight="1">
      <c r="A9" s="105"/>
      <c r="B9" s="55" t="s">
        <v>114</v>
      </c>
      <c r="C9" s="55"/>
      <c r="D9" s="65"/>
      <c r="E9" s="92">
        <v>328647</v>
      </c>
      <c r="F9" s="92">
        <v>349574.5</v>
      </c>
      <c r="G9" s="73">
        <v>440426.2</v>
      </c>
      <c r="H9" s="73">
        <v>383252.5</v>
      </c>
      <c r="I9" s="73">
        <v>381204.9</v>
      </c>
      <c r="J9" s="1" t="s">
        <v>251</v>
      </c>
    </row>
    <row r="10" spans="1:10" ht="27" customHeight="1">
      <c r="A10" s="105"/>
      <c r="B10" s="55" t="s">
        <v>115</v>
      </c>
      <c r="C10" s="55"/>
      <c r="D10" s="65"/>
      <c r="E10" s="92">
        <v>10225</v>
      </c>
      <c r="F10" s="92">
        <v>9747.6260000000002</v>
      </c>
      <c r="G10" s="73">
        <v>11002.9</v>
      </c>
      <c r="H10" s="73">
        <v>11349</v>
      </c>
      <c r="I10" s="73">
        <v>14801.4</v>
      </c>
      <c r="J10" s="1" t="s">
        <v>251</v>
      </c>
    </row>
    <row r="11" spans="1:10" ht="27" customHeight="1">
      <c r="A11" s="105"/>
      <c r="B11" s="55" t="s">
        <v>116</v>
      </c>
      <c r="C11" s="55"/>
      <c r="D11" s="65"/>
      <c r="E11" s="92">
        <v>4199</v>
      </c>
      <c r="F11" s="92">
        <v>3808.3670000000002</v>
      </c>
      <c r="G11" s="73">
        <v>4522.6000000000004</v>
      </c>
      <c r="H11" s="73">
        <v>4115.7</v>
      </c>
      <c r="I11" s="73">
        <v>5482.9</v>
      </c>
      <c r="J11" s="1" t="s">
        <v>251</v>
      </c>
    </row>
    <row r="12" spans="1:10" ht="27" customHeight="1">
      <c r="A12" s="105"/>
      <c r="B12" s="55" t="s">
        <v>117</v>
      </c>
      <c r="C12" s="55"/>
      <c r="D12" s="65"/>
      <c r="E12" s="92">
        <v>6025</v>
      </c>
      <c r="F12" s="92">
        <v>5939.259</v>
      </c>
      <c r="G12" s="73">
        <v>6480.3</v>
      </c>
      <c r="H12" s="73">
        <v>7233.4</v>
      </c>
      <c r="I12" s="73">
        <v>9318.5</v>
      </c>
      <c r="J12" s="1" t="s">
        <v>251</v>
      </c>
    </row>
    <row r="13" spans="1:10" ht="27" customHeight="1">
      <c r="A13" s="105"/>
      <c r="B13" s="55" t="s">
        <v>118</v>
      </c>
      <c r="C13" s="55"/>
      <c r="D13" s="65"/>
      <c r="E13" s="92">
        <v>-466</v>
      </c>
      <c r="F13" s="92">
        <v>-86.075999999999993</v>
      </c>
      <c r="G13" s="73">
        <v>541</v>
      </c>
      <c r="H13" s="73">
        <v>753</v>
      </c>
      <c r="I13" s="73">
        <v>2085.1</v>
      </c>
      <c r="J13" s="1" t="s">
        <v>251</v>
      </c>
    </row>
    <row r="14" spans="1:10" ht="27" customHeight="1">
      <c r="A14" s="105"/>
      <c r="B14" s="55" t="s">
        <v>119</v>
      </c>
      <c r="C14" s="55"/>
      <c r="D14" s="65"/>
      <c r="E14" s="92">
        <v>0</v>
      </c>
      <c r="F14" s="92">
        <v>20</v>
      </c>
      <c r="G14" s="73">
        <v>0</v>
      </c>
      <c r="H14" s="73">
        <v>0</v>
      </c>
      <c r="I14" s="73">
        <v>0</v>
      </c>
      <c r="J14" s="1" t="s">
        <v>251</v>
      </c>
    </row>
    <row r="15" spans="1:10" ht="27" customHeight="1">
      <c r="A15" s="105"/>
      <c r="B15" s="55" t="s">
        <v>120</v>
      </c>
      <c r="C15" s="55"/>
      <c r="D15" s="65"/>
      <c r="E15" s="92">
        <v>-442</v>
      </c>
      <c r="F15" s="92">
        <v>-3744.826</v>
      </c>
      <c r="G15" s="73">
        <v>-238.3</v>
      </c>
      <c r="H15" s="73">
        <v>4468.2</v>
      </c>
      <c r="I15" s="73">
        <v>1401.5</v>
      </c>
      <c r="J15" s="1" t="s">
        <v>251</v>
      </c>
    </row>
    <row r="16" spans="1:10" ht="27" customHeight="1">
      <c r="A16" s="105"/>
      <c r="B16" s="55" t="s">
        <v>121</v>
      </c>
      <c r="C16" s="55"/>
      <c r="D16" s="65" t="s">
        <v>38</v>
      </c>
      <c r="E16" s="92">
        <v>46120</v>
      </c>
      <c r="F16" s="92">
        <v>45402.069000000003</v>
      </c>
      <c r="G16" s="73">
        <v>42883.199999999997</v>
      </c>
      <c r="H16" s="73">
        <v>53114.6</v>
      </c>
      <c r="I16" s="73">
        <v>51077.9</v>
      </c>
      <c r="J16" s="1" t="s">
        <v>251</v>
      </c>
    </row>
    <row r="17" spans="1:10" ht="27" customHeight="1">
      <c r="A17" s="105"/>
      <c r="B17" s="55" t="s">
        <v>122</v>
      </c>
      <c r="C17" s="55"/>
      <c r="D17" s="65" t="s">
        <v>39</v>
      </c>
      <c r="E17" s="92">
        <v>144125</v>
      </c>
      <c r="F17" s="92">
        <v>137076.21299999999</v>
      </c>
      <c r="G17" s="73">
        <v>131827.4</v>
      </c>
      <c r="H17" s="73">
        <v>133987.1</v>
      </c>
      <c r="I17" s="73">
        <v>122787.1</v>
      </c>
      <c r="J17" s="1" t="s">
        <v>251</v>
      </c>
    </row>
    <row r="18" spans="1:10" ht="27" customHeight="1">
      <c r="A18" s="105"/>
      <c r="B18" s="55" t="s">
        <v>123</v>
      </c>
      <c r="C18" s="55"/>
      <c r="D18" s="65" t="s">
        <v>40</v>
      </c>
      <c r="E18" s="92">
        <v>256902</v>
      </c>
      <c r="F18" s="92">
        <v>255172.769</v>
      </c>
      <c r="G18" s="73">
        <v>257561</v>
      </c>
      <c r="H18" s="73">
        <v>249445.6</v>
      </c>
      <c r="I18" s="73">
        <v>249257.8</v>
      </c>
      <c r="J18" s="1" t="s">
        <v>251</v>
      </c>
    </row>
    <row r="19" spans="1:10" ht="27" customHeight="1">
      <c r="A19" s="105"/>
      <c r="B19" s="55" t="s">
        <v>124</v>
      </c>
      <c r="C19" s="55"/>
      <c r="D19" s="65" t="s">
        <v>125</v>
      </c>
      <c r="E19" s="92">
        <f>E17+E18-E16</f>
        <v>354907</v>
      </c>
      <c r="F19" s="92">
        <f>F17+F18-F16</f>
        <v>346846.91299999994</v>
      </c>
      <c r="G19" s="92">
        <f>G17+G18-G16</f>
        <v>346505.2</v>
      </c>
      <c r="H19" s="92">
        <f>H17+H18-H16</f>
        <v>330318.10000000003</v>
      </c>
      <c r="I19" s="71">
        <f>I17+I18-I16</f>
        <v>320967</v>
      </c>
      <c r="J19" s="1" t="s">
        <v>253</v>
      </c>
    </row>
    <row r="20" spans="1:10" ht="27" customHeight="1">
      <c r="A20" s="105"/>
      <c r="B20" s="55" t="s">
        <v>126</v>
      </c>
      <c r="C20" s="55"/>
      <c r="D20" s="65" t="s">
        <v>127</v>
      </c>
      <c r="E20" s="74">
        <f>E18/E8</f>
        <v>1.0469386757082777</v>
      </c>
      <c r="F20" s="74">
        <f>F18/F8</f>
        <v>1.0321456258551984</v>
      </c>
      <c r="G20" s="74">
        <f>G18/G8</f>
        <v>1.3100936228047777</v>
      </c>
      <c r="H20" s="74">
        <f>H18/H8</f>
        <v>1.1929317130792003</v>
      </c>
      <c r="I20" s="74">
        <f>I18/I8</f>
        <v>1.1791298885053454</v>
      </c>
      <c r="J20" s="1" t="s">
        <v>253</v>
      </c>
    </row>
    <row r="21" spans="1:10" ht="27" customHeight="1">
      <c r="A21" s="105"/>
      <c r="B21" s="55" t="s">
        <v>128</v>
      </c>
      <c r="C21" s="55"/>
      <c r="D21" s="65" t="s">
        <v>129</v>
      </c>
      <c r="E21" s="74">
        <f>E19/E8</f>
        <v>1.4463330942522741</v>
      </c>
      <c r="F21" s="74">
        <f>F19/F8</f>
        <v>1.4029573982258603</v>
      </c>
      <c r="G21" s="74">
        <f>G19/G8</f>
        <v>1.7625116100212923</v>
      </c>
      <c r="H21" s="74">
        <f>H19/H8</f>
        <v>1.5796908700496886</v>
      </c>
      <c r="I21" s="74">
        <f>I19/I8</f>
        <v>1.5183548234955744</v>
      </c>
      <c r="J21" s="1" t="s">
        <v>253</v>
      </c>
    </row>
    <row r="22" spans="1:10" ht="27" customHeight="1">
      <c r="A22" s="105"/>
      <c r="B22" s="55" t="s">
        <v>130</v>
      </c>
      <c r="C22" s="55"/>
      <c r="D22" s="65" t="s">
        <v>131</v>
      </c>
      <c r="E22" s="92">
        <f>E18/E24*1000000</f>
        <v>321940.39950875961</v>
      </c>
      <c r="F22" s="92">
        <f>F18/F24*1000000</f>
        <v>319773.38905736984</v>
      </c>
      <c r="G22" s="92">
        <f>G18/G24*1000000</f>
        <v>325730.53857380251</v>
      </c>
      <c r="H22" s="92">
        <f>H18/H24*1000000</f>
        <v>315467.20828411647</v>
      </c>
      <c r="I22" s="71">
        <f>I18/I24*1000000</f>
        <v>315229.70262470312</v>
      </c>
      <c r="J22" s="1" t="s">
        <v>253</v>
      </c>
    </row>
    <row r="23" spans="1:10" ht="27" customHeight="1">
      <c r="A23" s="105"/>
      <c r="B23" s="55" t="s">
        <v>132</v>
      </c>
      <c r="C23" s="55"/>
      <c r="D23" s="65" t="s">
        <v>133</v>
      </c>
      <c r="E23" s="92">
        <f>E19/E24*1000000</f>
        <v>444756.7608210732</v>
      </c>
      <c r="F23" s="92">
        <f>F19/F24*1000000</f>
        <v>434656.14802375989</v>
      </c>
      <c r="G23" s="92">
        <f>G19/G24*1000000</f>
        <v>438215.89997951232</v>
      </c>
      <c r="H23" s="92">
        <f>H19/H24*1000000</f>
        <v>417744.50562653184</v>
      </c>
      <c r="I23" s="71">
        <f>I19/I24*1000000</f>
        <v>405918.41845006688</v>
      </c>
      <c r="J23" s="1" t="s">
        <v>253</v>
      </c>
    </row>
    <row r="24" spans="1:10" ht="27" customHeight="1">
      <c r="A24" s="105"/>
      <c r="B24" s="75" t="s">
        <v>134</v>
      </c>
      <c r="C24" s="76"/>
      <c r="D24" s="65" t="s">
        <v>135</v>
      </c>
      <c r="E24" s="130">
        <v>797980</v>
      </c>
      <c r="F24" s="130">
        <f>E24</f>
        <v>797980</v>
      </c>
      <c r="G24" s="73">
        <v>790718</v>
      </c>
      <c r="H24" s="73">
        <v>790718</v>
      </c>
      <c r="I24" s="73">
        <v>790718</v>
      </c>
      <c r="J24" s="1" t="s">
        <v>251</v>
      </c>
    </row>
    <row r="25" spans="1:10" ht="27" customHeight="1">
      <c r="A25" s="105"/>
      <c r="B25" s="30" t="s">
        <v>136</v>
      </c>
      <c r="C25" s="30"/>
      <c r="D25" s="30"/>
      <c r="E25" s="92">
        <v>212828.38399999999</v>
      </c>
      <c r="F25" s="92">
        <v>213100.28899999999</v>
      </c>
      <c r="G25" s="91">
        <v>216033.9</v>
      </c>
      <c r="H25" s="91">
        <v>227707.4</v>
      </c>
      <c r="I25" s="66">
        <v>218550.6</v>
      </c>
      <c r="J25" s="1" t="s">
        <v>251</v>
      </c>
    </row>
    <row r="26" spans="1:10" ht="27" customHeight="1">
      <c r="A26" s="105"/>
      <c r="B26" s="30" t="s">
        <v>137</v>
      </c>
      <c r="C26" s="30"/>
      <c r="D26" s="30"/>
      <c r="E26" s="77">
        <v>0.879</v>
      </c>
      <c r="F26" s="77">
        <v>0.87</v>
      </c>
      <c r="G26" s="78">
        <v>0.86799999999999999</v>
      </c>
      <c r="H26" s="78">
        <v>0.84499999999999997</v>
      </c>
      <c r="I26" s="78">
        <v>0.82899999999999996</v>
      </c>
      <c r="J26" s="1" t="s">
        <v>251</v>
      </c>
    </row>
    <row r="27" spans="1:10" ht="27" customHeight="1">
      <c r="A27" s="105"/>
      <c r="B27" s="30" t="s">
        <v>138</v>
      </c>
      <c r="C27" s="30"/>
      <c r="D27" s="30"/>
      <c r="E27" s="79">
        <v>2.8310767984781582</v>
      </c>
      <c r="F27" s="79">
        <v>2.8</v>
      </c>
      <c r="G27" s="80">
        <v>3</v>
      </c>
      <c r="H27" s="80">
        <v>3.2</v>
      </c>
      <c r="I27" s="80">
        <v>4.3</v>
      </c>
      <c r="J27" s="1" t="s">
        <v>251</v>
      </c>
    </row>
    <row r="28" spans="1:10" ht="27" customHeight="1">
      <c r="A28" s="105"/>
      <c r="B28" s="30" t="s">
        <v>139</v>
      </c>
      <c r="C28" s="30"/>
      <c r="D28" s="30"/>
      <c r="E28" s="79">
        <v>89.8</v>
      </c>
      <c r="F28" s="79">
        <v>92.7</v>
      </c>
      <c r="G28" s="80">
        <v>92.5</v>
      </c>
      <c r="H28" s="80">
        <v>91.8</v>
      </c>
      <c r="I28" s="80">
        <v>96.7</v>
      </c>
      <c r="J28" s="1" t="s">
        <v>251</v>
      </c>
    </row>
    <row r="29" spans="1:10" ht="27" customHeight="1">
      <c r="A29" s="105"/>
      <c r="B29" s="30" t="s">
        <v>140</v>
      </c>
      <c r="C29" s="30"/>
      <c r="D29" s="30"/>
      <c r="E29" s="79">
        <v>53.6</v>
      </c>
      <c r="F29" s="79">
        <v>53.9</v>
      </c>
      <c r="G29" s="81">
        <v>40.6</v>
      </c>
      <c r="H29" s="81">
        <v>44.6</v>
      </c>
      <c r="I29" s="80">
        <v>47.6</v>
      </c>
      <c r="J29" s="1" t="s">
        <v>254</v>
      </c>
    </row>
    <row r="30" spans="1:10" ht="27" customHeight="1">
      <c r="A30" s="105"/>
      <c r="B30" s="105" t="s">
        <v>141</v>
      </c>
      <c r="C30" s="30" t="s">
        <v>142</v>
      </c>
      <c r="D30" s="30"/>
      <c r="E30" s="79">
        <v>0</v>
      </c>
      <c r="F30" s="79">
        <v>0</v>
      </c>
      <c r="G30" s="80">
        <v>0</v>
      </c>
      <c r="H30" s="57">
        <v>0</v>
      </c>
      <c r="I30" s="80">
        <v>0</v>
      </c>
      <c r="J30" s="1" t="s">
        <v>251</v>
      </c>
    </row>
    <row r="31" spans="1:10" ht="27" customHeight="1">
      <c r="A31" s="105"/>
      <c r="B31" s="105"/>
      <c r="C31" s="30" t="s">
        <v>143</v>
      </c>
      <c r="D31" s="30"/>
      <c r="E31" s="79">
        <v>0</v>
      </c>
      <c r="F31" s="79">
        <v>0</v>
      </c>
      <c r="G31" s="80">
        <v>0</v>
      </c>
      <c r="H31" s="80">
        <v>0</v>
      </c>
      <c r="I31" s="80">
        <v>0</v>
      </c>
      <c r="J31" s="1" t="s">
        <v>251</v>
      </c>
    </row>
    <row r="32" spans="1:10" ht="27" customHeight="1">
      <c r="A32" s="105"/>
      <c r="B32" s="105"/>
      <c r="C32" s="30" t="s">
        <v>144</v>
      </c>
      <c r="D32" s="30"/>
      <c r="E32" s="79">
        <v>6.5</v>
      </c>
      <c r="F32" s="79">
        <v>5.5</v>
      </c>
      <c r="G32" s="80">
        <v>5.0999999999999996</v>
      </c>
      <c r="H32" s="80">
        <v>4.8</v>
      </c>
      <c r="I32" s="80">
        <v>4.4000000000000004</v>
      </c>
      <c r="J32" s="1" t="s">
        <v>251</v>
      </c>
    </row>
    <row r="33" spans="1:10" ht="27" customHeight="1">
      <c r="A33" s="105"/>
      <c r="B33" s="105"/>
      <c r="C33" s="30" t="s">
        <v>145</v>
      </c>
      <c r="D33" s="30"/>
      <c r="E33" s="79">
        <v>0</v>
      </c>
      <c r="F33" s="79">
        <v>0</v>
      </c>
      <c r="G33" s="81">
        <v>0</v>
      </c>
      <c r="H33" s="81">
        <v>0</v>
      </c>
      <c r="I33" s="81">
        <v>0</v>
      </c>
      <c r="J33" s="1" t="s">
        <v>251</v>
      </c>
    </row>
    <row r="34" spans="1:10" ht="27" customHeight="1">
      <c r="A34" s="1" t="s">
        <v>243</v>
      </c>
      <c r="E34" s="39"/>
      <c r="F34" s="39"/>
      <c r="G34" s="39"/>
      <c r="H34" s="39"/>
      <c r="I34" s="40"/>
    </row>
    <row r="35" spans="1:10" ht="27" customHeight="1">
      <c r="A35" s="11" t="s">
        <v>146</v>
      </c>
    </row>
    <row r="36" spans="1:10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F49" sqref="F49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262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13" t="s">
        <v>44</v>
      </c>
      <c r="B6" s="112"/>
      <c r="C6" s="112"/>
      <c r="D6" s="112"/>
      <c r="E6" s="112"/>
      <c r="F6" s="120" t="s">
        <v>260</v>
      </c>
      <c r="G6" s="121"/>
      <c r="H6" s="120" t="s">
        <v>261</v>
      </c>
      <c r="I6" s="121"/>
      <c r="J6" s="120" t="s">
        <v>266</v>
      </c>
      <c r="K6" s="121"/>
      <c r="L6" s="117"/>
      <c r="M6" s="117"/>
      <c r="N6" s="117"/>
      <c r="O6" s="117"/>
    </row>
    <row r="7" spans="1:25" ht="15.95" customHeight="1">
      <c r="A7" s="112"/>
      <c r="B7" s="112"/>
      <c r="C7" s="112"/>
      <c r="D7" s="112"/>
      <c r="E7" s="112"/>
      <c r="F7" s="96" t="s">
        <v>258</v>
      </c>
      <c r="G7" s="98" t="s">
        <v>240</v>
      </c>
      <c r="H7" s="96" t="s">
        <v>258</v>
      </c>
      <c r="I7" s="98" t="s">
        <v>240</v>
      </c>
      <c r="J7" s="96" t="s">
        <v>258</v>
      </c>
      <c r="K7" s="98" t="s">
        <v>240</v>
      </c>
      <c r="L7" s="53" t="s">
        <v>239</v>
      </c>
      <c r="M7" s="83" t="s">
        <v>240</v>
      </c>
      <c r="N7" s="53" t="s">
        <v>239</v>
      </c>
      <c r="O7" s="83" t="s">
        <v>240</v>
      </c>
    </row>
    <row r="8" spans="1:25" ht="15.95" customHeight="1">
      <c r="A8" s="110" t="s">
        <v>83</v>
      </c>
      <c r="B8" s="61" t="s">
        <v>45</v>
      </c>
      <c r="C8" s="55"/>
      <c r="D8" s="55"/>
      <c r="E8" s="65" t="s">
        <v>36</v>
      </c>
      <c r="F8" s="87">
        <v>11641</v>
      </c>
      <c r="G8" s="87">
        <v>11629</v>
      </c>
      <c r="H8" s="87">
        <v>20101</v>
      </c>
      <c r="I8" s="87">
        <v>20065</v>
      </c>
      <c r="J8" s="87">
        <v>8895</v>
      </c>
      <c r="K8" s="87">
        <v>10607</v>
      </c>
      <c r="L8" s="66"/>
      <c r="M8" s="66"/>
      <c r="N8" s="66"/>
      <c r="O8" s="66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0"/>
      <c r="B9" s="63"/>
      <c r="C9" s="55" t="s">
        <v>46</v>
      </c>
      <c r="D9" s="55"/>
      <c r="E9" s="65" t="s">
        <v>37</v>
      </c>
      <c r="F9" s="87">
        <v>11639</v>
      </c>
      <c r="G9" s="87">
        <v>11628</v>
      </c>
      <c r="H9" s="87">
        <v>20088</v>
      </c>
      <c r="I9" s="87">
        <v>20049</v>
      </c>
      <c r="J9" s="87">
        <v>8862</v>
      </c>
      <c r="K9" s="87">
        <v>10581</v>
      </c>
      <c r="L9" s="66"/>
      <c r="M9" s="66"/>
      <c r="N9" s="66"/>
      <c r="O9" s="66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0"/>
      <c r="B10" s="62"/>
      <c r="C10" s="55" t="s">
        <v>47</v>
      </c>
      <c r="D10" s="55"/>
      <c r="E10" s="65" t="s">
        <v>38</v>
      </c>
      <c r="F10" s="87">
        <v>2</v>
      </c>
      <c r="G10" s="87">
        <v>1</v>
      </c>
      <c r="H10" s="87">
        <v>13</v>
      </c>
      <c r="I10" s="87">
        <v>16</v>
      </c>
      <c r="J10" s="99">
        <v>33</v>
      </c>
      <c r="K10" s="99">
        <v>26</v>
      </c>
      <c r="L10" s="66"/>
      <c r="M10" s="66"/>
      <c r="N10" s="66"/>
      <c r="O10" s="66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0"/>
      <c r="B11" s="61" t="s">
        <v>48</v>
      </c>
      <c r="C11" s="55"/>
      <c r="D11" s="55"/>
      <c r="E11" s="65" t="s">
        <v>39</v>
      </c>
      <c r="F11" s="87">
        <v>11855</v>
      </c>
      <c r="G11" s="87">
        <v>11399</v>
      </c>
      <c r="H11" s="87">
        <v>18005</v>
      </c>
      <c r="I11" s="87">
        <v>17929</v>
      </c>
      <c r="J11" s="87">
        <v>8499</v>
      </c>
      <c r="K11" s="87">
        <v>9197</v>
      </c>
      <c r="L11" s="66"/>
      <c r="M11" s="66"/>
      <c r="N11" s="66"/>
      <c r="O11" s="66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0"/>
      <c r="B12" s="63"/>
      <c r="C12" s="55" t="s">
        <v>49</v>
      </c>
      <c r="D12" s="55"/>
      <c r="E12" s="65" t="s">
        <v>40</v>
      </c>
      <c r="F12" s="87">
        <v>11827</v>
      </c>
      <c r="G12" s="87">
        <v>11389</v>
      </c>
      <c r="H12" s="87">
        <v>17975</v>
      </c>
      <c r="I12" s="87">
        <v>17882</v>
      </c>
      <c r="J12" s="87">
        <v>8482</v>
      </c>
      <c r="K12" s="87">
        <v>9182</v>
      </c>
      <c r="L12" s="66"/>
      <c r="M12" s="66"/>
      <c r="N12" s="66"/>
      <c r="O12" s="66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0"/>
      <c r="B13" s="62"/>
      <c r="C13" s="55" t="s">
        <v>50</v>
      </c>
      <c r="D13" s="55"/>
      <c r="E13" s="65" t="s">
        <v>41</v>
      </c>
      <c r="F13" s="87">
        <v>28</v>
      </c>
      <c r="G13" s="87">
        <v>11</v>
      </c>
      <c r="H13" s="99">
        <v>29</v>
      </c>
      <c r="I13" s="99">
        <v>47</v>
      </c>
      <c r="J13" s="99">
        <v>17</v>
      </c>
      <c r="K13" s="99">
        <v>15</v>
      </c>
      <c r="L13" s="66"/>
      <c r="M13" s="66"/>
      <c r="N13" s="66"/>
      <c r="O13" s="66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0"/>
      <c r="B14" s="55" t="s">
        <v>51</v>
      </c>
      <c r="C14" s="55"/>
      <c r="D14" s="55"/>
      <c r="E14" s="65" t="s">
        <v>148</v>
      </c>
      <c r="F14" s="87">
        <f>F9-F12</f>
        <v>-188</v>
      </c>
      <c r="G14" s="87">
        <f>G9-G12</f>
        <v>239</v>
      </c>
      <c r="H14" s="87">
        <f t="shared" ref="F14:H15" si="0">H9-H12</f>
        <v>2113</v>
      </c>
      <c r="I14" s="87">
        <f>I9-I12</f>
        <v>2167</v>
      </c>
      <c r="J14" s="87">
        <f t="shared" ref="J14:K15" si="1">J9-J12</f>
        <v>380</v>
      </c>
      <c r="K14" s="87">
        <f t="shared" si="1"/>
        <v>1399</v>
      </c>
      <c r="L14" s="66">
        <f t="shared" ref="L14:O15" si="2">L9-L12</f>
        <v>0</v>
      </c>
      <c r="M14" s="66">
        <f t="shared" si="2"/>
        <v>0</v>
      </c>
      <c r="N14" s="66">
        <f t="shared" si="2"/>
        <v>0</v>
      </c>
      <c r="O14" s="66">
        <f t="shared" si="2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0"/>
      <c r="B15" s="55" t="s">
        <v>52</v>
      </c>
      <c r="C15" s="55"/>
      <c r="D15" s="55"/>
      <c r="E15" s="65" t="s">
        <v>149</v>
      </c>
      <c r="F15" s="87">
        <f t="shared" si="0"/>
        <v>-26</v>
      </c>
      <c r="G15" s="87">
        <f>G10-G13</f>
        <v>-10</v>
      </c>
      <c r="H15" s="87">
        <f t="shared" si="0"/>
        <v>-16</v>
      </c>
      <c r="I15" s="87">
        <f>I10-I13</f>
        <v>-31</v>
      </c>
      <c r="J15" s="87">
        <f t="shared" si="1"/>
        <v>16</v>
      </c>
      <c r="K15" s="87">
        <f t="shared" si="1"/>
        <v>11</v>
      </c>
      <c r="L15" s="66">
        <f t="shared" si="2"/>
        <v>0</v>
      </c>
      <c r="M15" s="66">
        <f t="shared" si="2"/>
        <v>0</v>
      </c>
      <c r="N15" s="66">
        <f t="shared" si="2"/>
        <v>0</v>
      </c>
      <c r="O15" s="66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0"/>
      <c r="B16" s="55" t="s">
        <v>53</v>
      </c>
      <c r="C16" s="55"/>
      <c r="D16" s="55"/>
      <c r="E16" s="65" t="s">
        <v>150</v>
      </c>
      <c r="F16" s="87">
        <f t="shared" ref="F16:H16" si="3">F8-F11</f>
        <v>-214</v>
      </c>
      <c r="G16" s="87">
        <f t="shared" si="3"/>
        <v>230</v>
      </c>
      <c r="H16" s="87">
        <f t="shared" si="3"/>
        <v>2096</v>
      </c>
      <c r="I16" s="87">
        <f>I8-I11</f>
        <v>2136</v>
      </c>
      <c r="J16" s="87">
        <f t="shared" ref="J16:K16" si="4">J8-J11</f>
        <v>396</v>
      </c>
      <c r="K16" s="87">
        <f t="shared" si="4"/>
        <v>1410</v>
      </c>
      <c r="L16" s="66">
        <f t="shared" ref="L16:O16" si="5">L8-L11</f>
        <v>0</v>
      </c>
      <c r="M16" s="66">
        <f t="shared" si="5"/>
        <v>0</v>
      </c>
      <c r="N16" s="66">
        <f t="shared" si="5"/>
        <v>0</v>
      </c>
      <c r="O16" s="66">
        <f t="shared" si="5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0"/>
      <c r="B17" s="55" t="s">
        <v>54</v>
      </c>
      <c r="C17" s="55"/>
      <c r="D17" s="55"/>
      <c r="E17" s="53"/>
      <c r="F17" s="99">
        <v>0</v>
      </c>
      <c r="G17" s="99">
        <v>0</v>
      </c>
      <c r="H17" s="99">
        <v>0</v>
      </c>
      <c r="I17" s="99">
        <v>0</v>
      </c>
      <c r="J17" s="87">
        <v>0</v>
      </c>
      <c r="K17" s="87">
        <v>0</v>
      </c>
      <c r="L17" s="66"/>
      <c r="M17" s="66"/>
      <c r="N17" s="67"/>
      <c r="O17" s="6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0"/>
      <c r="B18" s="55" t="s">
        <v>55</v>
      </c>
      <c r="C18" s="55"/>
      <c r="D18" s="55"/>
      <c r="E18" s="53"/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68"/>
      <c r="M18" s="68"/>
      <c r="N18" s="68"/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0" t="s">
        <v>84</v>
      </c>
      <c r="B19" s="61" t="s">
        <v>56</v>
      </c>
      <c r="C19" s="55"/>
      <c r="D19" s="55"/>
      <c r="E19" s="65"/>
      <c r="F19" s="87">
        <v>2522</v>
      </c>
      <c r="G19" s="87">
        <v>2756</v>
      </c>
      <c r="H19" s="87">
        <v>9229</v>
      </c>
      <c r="I19" s="87">
        <v>10457</v>
      </c>
      <c r="J19" s="87">
        <v>8665</v>
      </c>
      <c r="K19" s="87">
        <v>3355</v>
      </c>
      <c r="L19" s="66"/>
      <c r="M19" s="66"/>
      <c r="N19" s="66"/>
      <c r="O19" s="66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0"/>
      <c r="B20" s="62"/>
      <c r="C20" s="55" t="s">
        <v>57</v>
      </c>
      <c r="D20" s="55"/>
      <c r="E20" s="65"/>
      <c r="F20" s="87">
        <v>1649</v>
      </c>
      <c r="G20" s="87">
        <v>1618</v>
      </c>
      <c r="H20" s="87">
        <v>6214</v>
      </c>
      <c r="I20" s="87">
        <v>6940</v>
      </c>
      <c r="J20" s="87">
        <v>8542</v>
      </c>
      <c r="K20" s="87">
        <v>3123</v>
      </c>
      <c r="L20" s="66"/>
      <c r="M20" s="66"/>
      <c r="N20" s="66"/>
      <c r="O20" s="66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0"/>
      <c r="B21" s="55" t="s">
        <v>58</v>
      </c>
      <c r="C21" s="55"/>
      <c r="D21" s="55"/>
      <c r="E21" s="65" t="s">
        <v>151</v>
      </c>
      <c r="F21" s="87">
        <v>2522</v>
      </c>
      <c r="G21" s="87">
        <v>2756</v>
      </c>
      <c r="H21" s="87">
        <v>9229</v>
      </c>
      <c r="I21" s="87">
        <v>10457</v>
      </c>
      <c r="J21" s="87">
        <v>8665</v>
      </c>
      <c r="K21" s="87">
        <v>3355</v>
      </c>
      <c r="L21" s="66"/>
      <c r="M21" s="66"/>
      <c r="N21" s="66"/>
      <c r="O21" s="66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0"/>
      <c r="B22" s="61" t="s">
        <v>59</v>
      </c>
      <c r="C22" s="55"/>
      <c r="D22" s="55"/>
      <c r="E22" s="65" t="s">
        <v>152</v>
      </c>
      <c r="F22" s="87">
        <v>8317</v>
      </c>
      <c r="G22" s="87">
        <v>8084</v>
      </c>
      <c r="H22" s="87">
        <v>18527</v>
      </c>
      <c r="I22" s="87">
        <v>19448</v>
      </c>
      <c r="J22" s="87">
        <v>10360</v>
      </c>
      <c r="K22" s="87">
        <v>4976</v>
      </c>
      <c r="L22" s="66"/>
      <c r="M22" s="66"/>
      <c r="N22" s="66"/>
      <c r="O22" s="66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0"/>
      <c r="B23" s="62" t="s">
        <v>60</v>
      </c>
      <c r="C23" s="55" t="s">
        <v>61</v>
      </c>
      <c r="D23" s="55"/>
      <c r="E23" s="65"/>
      <c r="F23" s="87">
        <v>1914</v>
      </c>
      <c r="G23" s="87">
        <v>1887</v>
      </c>
      <c r="H23" s="87">
        <v>12568</v>
      </c>
      <c r="I23" s="87">
        <v>12573</v>
      </c>
      <c r="J23" s="87">
        <v>1456</v>
      </c>
      <c r="K23" s="87">
        <v>14037</v>
      </c>
      <c r="L23" s="66"/>
      <c r="M23" s="66"/>
      <c r="N23" s="66"/>
      <c r="O23" s="66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0"/>
      <c r="B24" s="55" t="s">
        <v>153</v>
      </c>
      <c r="C24" s="55"/>
      <c r="D24" s="55"/>
      <c r="E24" s="65" t="s">
        <v>154</v>
      </c>
      <c r="F24" s="87">
        <f>F21-F22</f>
        <v>-5795</v>
      </c>
      <c r="G24" s="87">
        <f>G21-G22</f>
        <v>-5328</v>
      </c>
      <c r="H24" s="87">
        <f t="shared" ref="H24:K24" si="6">H21-H22</f>
        <v>-9298</v>
      </c>
      <c r="I24" s="87">
        <f t="shared" si="6"/>
        <v>-8991</v>
      </c>
      <c r="J24" s="87">
        <f t="shared" si="6"/>
        <v>-1695</v>
      </c>
      <c r="K24" s="87">
        <f t="shared" si="6"/>
        <v>-1621</v>
      </c>
      <c r="L24" s="66">
        <f t="shared" ref="L24:O24" si="7">L21-L22</f>
        <v>0</v>
      </c>
      <c r="M24" s="66">
        <f t="shared" si="7"/>
        <v>0</v>
      </c>
      <c r="N24" s="66">
        <f t="shared" si="7"/>
        <v>0</v>
      </c>
      <c r="O24" s="66">
        <f t="shared" si="7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0"/>
      <c r="B25" s="61" t="s">
        <v>62</v>
      </c>
      <c r="C25" s="61"/>
      <c r="D25" s="61"/>
      <c r="E25" s="114" t="s">
        <v>155</v>
      </c>
      <c r="F25" s="108">
        <v>5795</v>
      </c>
      <c r="G25" s="108">
        <v>5328</v>
      </c>
      <c r="H25" s="108">
        <v>9298</v>
      </c>
      <c r="I25" s="108">
        <v>8991</v>
      </c>
      <c r="J25" s="108">
        <v>1695</v>
      </c>
      <c r="K25" s="108">
        <v>1621</v>
      </c>
      <c r="L25" s="122"/>
      <c r="M25" s="122"/>
      <c r="N25" s="122"/>
      <c r="O25" s="122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0"/>
      <c r="B26" s="82" t="s">
        <v>63</v>
      </c>
      <c r="C26" s="82"/>
      <c r="D26" s="82"/>
      <c r="E26" s="115"/>
      <c r="F26" s="109"/>
      <c r="G26" s="109"/>
      <c r="H26" s="109"/>
      <c r="I26" s="109"/>
      <c r="J26" s="109"/>
      <c r="K26" s="109"/>
      <c r="L26" s="123"/>
      <c r="M26" s="123"/>
      <c r="N26" s="123"/>
      <c r="O26" s="123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0"/>
      <c r="B27" s="55" t="s">
        <v>156</v>
      </c>
      <c r="C27" s="55"/>
      <c r="D27" s="55"/>
      <c r="E27" s="65" t="s">
        <v>157</v>
      </c>
      <c r="F27" s="87">
        <f t="shared" ref="F27:K27" si="8">F24+F25</f>
        <v>0</v>
      </c>
      <c r="G27" s="87">
        <f t="shared" si="8"/>
        <v>0</v>
      </c>
      <c r="H27" s="87">
        <f t="shared" si="8"/>
        <v>0</v>
      </c>
      <c r="I27" s="87">
        <f t="shared" si="8"/>
        <v>0</v>
      </c>
      <c r="J27" s="87">
        <f t="shared" si="8"/>
        <v>0</v>
      </c>
      <c r="K27" s="87">
        <f t="shared" si="8"/>
        <v>0</v>
      </c>
      <c r="L27" s="66">
        <f t="shared" ref="L27:O27" si="9">L24+L25</f>
        <v>0</v>
      </c>
      <c r="M27" s="66">
        <f t="shared" si="9"/>
        <v>0</v>
      </c>
      <c r="N27" s="66">
        <f t="shared" si="9"/>
        <v>0</v>
      </c>
      <c r="O27" s="66">
        <f t="shared" si="9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12" t="s">
        <v>64</v>
      </c>
      <c r="B30" s="112"/>
      <c r="C30" s="112"/>
      <c r="D30" s="112"/>
      <c r="E30" s="112"/>
      <c r="F30" s="124" t="s">
        <v>256</v>
      </c>
      <c r="G30" s="125"/>
      <c r="H30" s="124" t="s">
        <v>257</v>
      </c>
      <c r="I30" s="125"/>
      <c r="J30" s="124" t="s">
        <v>263</v>
      </c>
      <c r="K30" s="125"/>
      <c r="L30" s="124" t="s">
        <v>265</v>
      </c>
      <c r="M30" s="125"/>
      <c r="N30" s="119"/>
      <c r="O30" s="119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12"/>
      <c r="B31" s="112"/>
      <c r="C31" s="112"/>
      <c r="D31" s="112"/>
      <c r="E31" s="112"/>
      <c r="F31" s="96" t="s">
        <v>258</v>
      </c>
      <c r="G31" s="98" t="s">
        <v>240</v>
      </c>
      <c r="H31" s="96" t="s">
        <v>258</v>
      </c>
      <c r="I31" s="98" t="s">
        <v>240</v>
      </c>
      <c r="J31" s="96" t="s">
        <v>258</v>
      </c>
      <c r="K31" s="98" t="s">
        <v>240</v>
      </c>
      <c r="L31" s="96" t="s">
        <v>258</v>
      </c>
      <c r="M31" s="98" t="s">
        <v>240</v>
      </c>
      <c r="N31" s="53" t="s">
        <v>239</v>
      </c>
      <c r="O31" s="83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10" t="s">
        <v>85</v>
      </c>
      <c r="B32" s="61" t="s">
        <v>45</v>
      </c>
      <c r="C32" s="55"/>
      <c r="D32" s="55"/>
      <c r="E32" s="65" t="s">
        <v>36</v>
      </c>
      <c r="F32" s="87">
        <v>231</v>
      </c>
      <c r="G32" s="87">
        <v>213</v>
      </c>
      <c r="H32" s="87">
        <f>673+59</f>
        <v>732</v>
      </c>
      <c r="I32" s="94">
        <f>624+53</f>
        <v>677</v>
      </c>
      <c r="J32" s="87">
        <v>412.1</v>
      </c>
      <c r="K32" s="87">
        <v>411.3</v>
      </c>
      <c r="L32" s="87">
        <v>108</v>
      </c>
      <c r="M32" s="87">
        <v>101</v>
      </c>
      <c r="N32" s="66"/>
      <c r="O32" s="66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16"/>
      <c r="B33" s="63"/>
      <c r="C33" s="61" t="s">
        <v>65</v>
      </c>
      <c r="D33" s="55"/>
      <c r="E33" s="65"/>
      <c r="F33" s="87">
        <v>113</v>
      </c>
      <c r="G33" s="87">
        <v>118</v>
      </c>
      <c r="H33" s="87">
        <f>457+36</f>
        <v>493</v>
      </c>
      <c r="I33" s="94">
        <f>456+35</f>
        <v>491</v>
      </c>
      <c r="J33" s="87">
        <v>377</v>
      </c>
      <c r="K33" s="87">
        <v>375</v>
      </c>
      <c r="L33" s="87">
        <v>31</v>
      </c>
      <c r="M33" s="87">
        <v>32</v>
      </c>
      <c r="N33" s="66"/>
      <c r="O33" s="66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16"/>
      <c r="B34" s="63"/>
      <c r="C34" s="62"/>
      <c r="D34" s="55" t="s">
        <v>66</v>
      </c>
      <c r="E34" s="65"/>
      <c r="F34" s="87">
        <v>113</v>
      </c>
      <c r="G34" s="87">
        <v>118</v>
      </c>
      <c r="H34" s="87">
        <f>457+36</f>
        <v>493</v>
      </c>
      <c r="I34" s="94">
        <f>456+35</f>
        <v>491</v>
      </c>
      <c r="J34" s="87">
        <v>377</v>
      </c>
      <c r="K34" s="87">
        <v>375</v>
      </c>
      <c r="L34" s="87">
        <v>31</v>
      </c>
      <c r="M34" s="87">
        <v>32</v>
      </c>
      <c r="N34" s="66"/>
      <c r="O34" s="66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16"/>
      <c r="B35" s="62"/>
      <c r="C35" s="55" t="s">
        <v>67</v>
      </c>
      <c r="D35" s="55"/>
      <c r="E35" s="65"/>
      <c r="F35" s="87">
        <v>118</v>
      </c>
      <c r="G35" s="87">
        <v>95</v>
      </c>
      <c r="H35" s="87">
        <f>216+23</f>
        <v>239</v>
      </c>
      <c r="I35" s="94">
        <f>168+18</f>
        <v>186</v>
      </c>
      <c r="J35" s="95">
        <v>35.1</v>
      </c>
      <c r="K35" s="95">
        <v>36.299999999999997</v>
      </c>
      <c r="L35" s="87">
        <v>77</v>
      </c>
      <c r="M35" s="87">
        <v>69</v>
      </c>
      <c r="N35" s="66"/>
      <c r="O35" s="66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16"/>
      <c r="B36" s="61" t="s">
        <v>48</v>
      </c>
      <c r="C36" s="55"/>
      <c r="D36" s="55"/>
      <c r="E36" s="65" t="s">
        <v>37</v>
      </c>
      <c r="F36" s="87">
        <v>231</v>
      </c>
      <c r="G36" s="87">
        <v>213</v>
      </c>
      <c r="H36" s="87">
        <f>553+57</f>
        <v>610</v>
      </c>
      <c r="I36" s="94">
        <f>449+51</f>
        <v>500</v>
      </c>
      <c r="J36" s="87">
        <v>107.1</v>
      </c>
      <c r="K36" s="87">
        <v>101.9</v>
      </c>
      <c r="L36" s="87">
        <v>108</v>
      </c>
      <c r="M36" s="87">
        <v>101</v>
      </c>
      <c r="N36" s="66"/>
      <c r="O36" s="66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16"/>
      <c r="B37" s="63"/>
      <c r="C37" s="55" t="s">
        <v>68</v>
      </c>
      <c r="D37" s="55"/>
      <c r="E37" s="65"/>
      <c r="F37" s="87">
        <v>229</v>
      </c>
      <c r="G37" s="87">
        <v>211</v>
      </c>
      <c r="H37" s="87">
        <f>531+56</f>
        <v>587</v>
      </c>
      <c r="I37" s="94">
        <f>431+50</f>
        <v>481</v>
      </c>
      <c r="J37" s="87">
        <v>106.2</v>
      </c>
      <c r="K37" s="87">
        <v>99.3</v>
      </c>
      <c r="L37" s="87">
        <v>99</v>
      </c>
      <c r="M37" s="87">
        <v>90</v>
      </c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16"/>
      <c r="B38" s="62"/>
      <c r="C38" s="55" t="s">
        <v>69</v>
      </c>
      <c r="D38" s="55"/>
      <c r="E38" s="65"/>
      <c r="F38" s="87">
        <v>2</v>
      </c>
      <c r="G38" s="87">
        <v>2</v>
      </c>
      <c r="H38" s="87">
        <f>22+1</f>
        <v>23</v>
      </c>
      <c r="I38" s="94">
        <f>18+1</f>
        <v>19</v>
      </c>
      <c r="J38" s="87">
        <v>0.9</v>
      </c>
      <c r="K38" s="87">
        <v>2.6</v>
      </c>
      <c r="L38" s="87">
        <v>9</v>
      </c>
      <c r="M38" s="87">
        <v>11</v>
      </c>
      <c r="N38" s="66"/>
      <c r="O38" s="66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16"/>
      <c r="B39" s="30" t="s">
        <v>70</v>
      </c>
      <c r="C39" s="30"/>
      <c r="D39" s="30"/>
      <c r="E39" s="65" t="s">
        <v>159</v>
      </c>
      <c r="F39" s="87">
        <f t="shared" ref="F39:H39" si="10">F32-F36</f>
        <v>0</v>
      </c>
      <c r="G39" s="87">
        <f t="shared" si="10"/>
        <v>0</v>
      </c>
      <c r="H39" s="87">
        <f t="shared" si="10"/>
        <v>122</v>
      </c>
      <c r="I39" s="87">
        <f>I32-I36</f>
        <v>177</v>
      </c>
      <c r="J39" s="87">
        <f t="shared" ref="J39:M39" si="11">J32-J36</f>
        <v>305</v>
      </c>
      <c r="K39" s="87">
        <f t="shared" si="11"/>
        <v>309.39999999999998</v>
      </c>
      <c r="L39" s="87">
        <f t="shared" si="11"/>
        <v>0</v>
      </c>
      <c r="M39" s="87">
        <f t="shared" si="11"/>
        <v>0</v>
      </c>
      <c r="N39" s="66">
        <f t="shared" ref="N39:O39" si="12">N32-N36</f>
        <v>0</v>
      </c>
      <c r="O39" s="66">
        <f t="shared" si="12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10" t="s">
        <v>86</v>
      </c>
      <c r="B40" s="61" t="s">
        <v>71</v>
      </c>
      <c r="C40" s="55"/>
      <c r="D40" s="55"/>
      <c r="E40" s="65" t="s">
        <v>39</v>
      </c>
      <c r="F40" s="87">
        <v>43</v>
      </c>
      <c r="G40" s="87">
        <v>34</v>
      </c>
      <c r="H40" s="87">
        <f>129+9</f>
        <v>138</v>
      </c>
      <c r="I40" s="94">
        <f>0+7</f>
        <v>7</v>
      </c>
      <c r="J40" s="87">
        <v>0</v>
      </c>
      <c r="K40" s="101">
        <v>0</v>
      </c>
      <c r="L40" s="87">
        <v>63</v>
      </c>
      <c r="M40" s="87">
        <v>64</v>
      </c>
      <c r="N40" s="66"/>
      <c r="O40" s="66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11"/>
      <c r="B41" s="62"/>
      <c r="C41" s="55" t="s">
        <v>72</v>
      </c>
      <c r="D41" s="55"/>
      <c r="E41" s="65"/>
      <c r="F41" s="97">
        <v>0</v>
      </c>
      <c r="G41" s="97" t="s">
        <v>259</v>
      </c>
      <c r="H41" s="95">
        <v>0</v>
      </c>
      <c r="I41" s="95">
        <v>0</v>
      </c>
      <c r="J41" s="87">
        <v>0</v>
      </c>
      <c r="K41" s="87">
        <v>0</v>
      </c>
      <c r="L41" s="87">
        <v>0</v>
      </c>
      <c r="M41" s="87">
        <v>0</v>
      </c>
      <c r="N41" s="66"/>
      <c r="O41" s="66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11"/>
      <c r="B42" s="61" t="s">
        <v>59</v>
      </c>
      <c r="C42" s="55"/>
      <c r="D42" s="55"/>
      <c r="E42" s="65" t="s">
        <v>40</v>
      </c>
      <c r="F42" s="87">
        <v>43</v>
      </c>
      <c r="G42" s="87">
        <v>34</v>
      </c>
      <c r="H42" s="87">
        <f>205+12</f>
        <v>217</v>
      </c>
      <c r="I42" s="94">
        <f>145+227</f>
        <v>372</v>
      </c>
      <c r="J42" s="87">
        <v>90.5</v>
      </c>
      <c r="K42" s="87">
        <v>157</v>
      </c>
      <c r="L42" s="87">
        <v>63</v>
      </c>
      <c r="M42" s="87">
        <v>64</v>
      </c>
      <c r="N42" s="66"/>
      <c r="O42" s="66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11"/>
      <c r="B43" s="62"/>
      <c r="C43" s="55" t="s">
        <v>73</v>
      </c>
      <c r="D43" s="55"/>
      <c r="E43" s="65"/>
      <c r="F43" s="87">
        <v>16</v>
      </c>
      <c r="G43" s="87">
        <v>16</v>
      </c>
      <c r="H43" s="87">
        <f>40+4</f>
        <v>44</v>
      </c>
      <c r="I43" s="94">
        <f>43+52</f>
        <v>95</v>
      </c>
      <c r="J43" s="95">
        <v>40.6</v>
      </c>
      <c r="K43" s="95">
        <v>106.1</v>
      </c>
      <c r="L43" s="87">
        <v>63</v>
      </c>
      <c r="M43" s="87">
        <v>64</v>
      </c>
      <c r="N43" s="66"/>
      <c r="O43" s="66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11"/>
      <c r="B44" s="55" t="s">
        <v>70</v>
      </c>
      <c r="C44" s="55"/>
      <c r="D44" s="55"/>
      <c r="E44" s="65" t="s">
        <v>160</v>
      </c>
      <c r="F44" s="95">
        <f t="shared" ref="F44:I44" si="13">F40-F42</f>
        <v>0</v>
      </c>
      <c r="G44" s="95">
        <f t="shared" si="13"/>
        <v>0</v>
      </c>
      <c r="H44" s="95">
        <f t="shared" si="13"/>
        <v>-79</v>
      </c>
      <c r="I44" s="95">
        <f t="shared" si="13"/>
        <v>-365</v>
      </c>
      <c r="J44" s="95">
        <f>J40-J42</f>
        <v>-90.5</v>
      </c>
      <c r="K44" s="95">
        <f t="shared" ref="K44:M44" si="14">K40-K42</f>
        <v>-157</v>
      </c>
      <c r="L44" s="95">
        <f t="shared" si="14"/>
        <v>0</v>
      </c>
      <c r="M44" s="95">
        <f t="shared" si="14"/>
        <v>0</v>
      </c>
      <c r="N44" s="68">
        <f t="shared" ref="N44:O44" si="15">N40-N42</f>
        <v>0</v>
      </c>
      <c r="O44" s="68">
        <f t="shared" si="15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10" t="s">
        <v>78</v>
      </c>
      <c r="B45" s="30" t="s">
        <v>74</v>
      </c>
      <c r="C45" s="30"/>
      <c r="D45" s="30"/>
      <c r="E45" s="65" t="s">
        <v>161</v>
      </c>
      <c r="F45" s="87">
        <f t="shared" ref="F45:M45" si="16">F39+F44</f>
        <v>0</v>
      </c>
      <c r="G45" s="87">
        <f t="shared" si="16"/>
        <v>0</v>
      </c>
      <c r="H45" s="87">
        <f t="shared" si="16"/>
        <v>43</v>
      </c>
      <c r="I45" s="87">
        <f t="shared" si="16"/>
        <v>-188</v>
      </c>
      <c r="J45" s="87">
        <f t="shared" si="16"/>
        <v>214.5</v>
      </c>
      <c r="K45" s="87">
        <f t="shared" si="16"/>
        <v>152.39999999999998</v>
      </c>
      <c r="L45" s="87">
        <f t="shared" si="16"/>
        <v>0</v>
      </c>
      <c r="M45" s="87">
        <f t="shared" si="16"/>
        <v>0</v>
      </c>
      <c r="N45" s="66">
        <f t="shared" ref="N45:O45" si="17">N39+N44</f>
        <v>0</v>
      </c>
      <c r="O45" s="66">
        <f t="shared" si="17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11"/>
      <c r="B46" s="55" t="s">
        <v>75</v>
      </c>
      <c r="C46" s="55"/>
      <c r="D46" s="55"/>
      <c r="E46" s="55"/>
      <c r="F46" s="95">
        <v>0</v>
      </c>
      <c r="G46" s="95">
        <v>0</v>
      </c>
      <c r="H46" s="95">
        <f>34+0</f>
        <v>34</v>
      </c>
      <c r="I46" s="97">
        <f>21+40</f>
        <v>61</v>
      </c>
      <c r="J46" s="95">
        <v>211.5</v>
      </c>
      <c r="K46" s="95">
        <v>147</v>
      </c>
      <c r="L46" s="87">
        <v>0</v>
      </c>
      <c r="M46" s="87">
        <v>0</v>
      </c>
      <c r="N46" s="68"/>
      <c r="O46" s="68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11"/>
      <c r="B47" s="55" t="s">
        <v>76</v>
      </c>
      <c r="C47" s="55"/>
      <c r="D47" s="55"/>
      <c r="E47" s="55"/>
      <c r="F47" s="87">
        <v>0</v>
      </c>
      <c r="G47" s="87">
        <v>0</v>
      </c>
      <c r="H47" s="100">
        <f>32+0</f>
        <v>32</v>
      </c>
      <c r="I47" s="94">
        <f>22+13</f>
        <v>35</v>
      </c>
      <c r="J47" s="87">
        <v>14.4</v>
      </c>
      <c r="K47" s="87">
        <v>11.4</v>
      </c>
      <c r="L47" s="87">
        <v>0</v>
      </c>
      <c r="M47" s="87">
        <v>0</v>
      </c>
      <c r="N47" s="66"/>
      <c r="O47" s="66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11"/>
      <c r="B48" s="55" t="s">
        <v>77</v>
      </c>
      <c r="C48" s="55"/>
      <c r="D48" s="55"/>
      <c r="E48" s="55"/>
      <c r="F48" s="87">
        <v>0</v>
      </c>
      <c r="G48" s="87">
        <v>0</v>
      </c>
      <c r="H48" s="100">
        <f>32+0</f>
        <v>32</v>
      </c>
      <c r="I48" s="94">
        <f>22+13</f>
        <v>35</v>
      </c>
      <c r="J48" s="87">
        <v>14.4</v>
      </c>
      <c r="K48" s="87">
        <v>11.4</v>
      </c>
      <c r="L48" s="87">
        <v>0</v>
      </c>
      <c r="M48" s="87">
        <v>0</v>
      </c>
      <c r="N48" s="66"/>
      <c r="O48" s="66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162</v>
      </c>
      <c r="O49" s="4"/>
    </row>
    <row r="50" spans="1:15" ht="15.95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F19" sqref="F19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4" width="12.625" style="1" customWidth="1"/>
    <col min="15" max="16384" width="9" style="1"/>
  </cols>
  <sheetData>
    <row r="1" spans="1:14" ht="33.950000000000003" customHeight="1">
      <c r="A1" s="36" t="s">
        <v>0</v>
      </c>
      <c r="B1" s="36"/>
      <c r="C1" s="42" t="s">
        <v>262</v>
      </c>
      <c r="D1" s="43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4"/>
      <c r="B5" s="44" t="s">
        <v>245</v>
      </c>
      <c r="C5" s="44"/>
      <c r="D5" s="44"/>
      <c r="H5" s="16"/>
      <c r="L5" s="16"/>
      <c r="N5" s="16" t="s">
        <v>164</v>
      </c>
    </row>
    <row r="6" spans="1:14" ht="15" customHeight="1">
      <c r="A6" s="45"/>
      <c r="B6" s="46"/>
      <c r="C6" s="46"/>
      <c r="D6" s="89"/>
      <c r="E6" s="126" t="s">
        <v>264</v>
      </c>
      <c r="F6" s="127"/>
      <c r="G6" s="128"/>
      <c r="H6" s="128"/>
      <c r="I6" s="128"/>
      <c r="J6" s="128"/>
      <c r="K6" s="128"/>
      <c r="L6" s="128"/>
      <c r="M6" s="128"/>
      <c r="N6" s="128"/>
    </row>
    <row r="7" spans="1:14" ht="15" customHeight="1">
      <c r="A7" s="47"/>
      <c r="B7" s="48"/>
      <c r="C7" s="48"/>
      <c r="D7" s="90"/>
      <c r="E7" s="103" t="s">
        <v>258</v>
      </c>
      <c r="F7" s="103" t="s">
        <v>240</v>
      </c>
      <c r="G7" s="28" t="s">
        <v>239</v>
      </c>
      <c r="H7" s="28" t="s">
        <v>240</v>
      </c>
      <c r="I7" s="28" t="s">
        <v>239</v>
      </c>
      <c r="J7" s="28" t="s">
        <v>240</v>
      </c>
      <c r="K7" s="28" t="s">
        <v>239</v>
      </c>
      <c r="L7" s="28" t="s">
        <v>240</v>
      </c>
      <c r="M7" s="28" t="s">
        <v>239</v>
      </c>
      <c r="N7" s="28" t="s">
        <v>240</v>
      </c>
    </row>
    <row r="8" spans="1:14" ht="18" customHeight="1">
      <c r="A8" s="105" t="s">
        <v>165</v>
      </c>
      <c r="B8" s="84" t="s">
        <v>166</v>
      </c>
      <c r="C8" s="85"/>
      <c r="D8" s="85"/>
      <c r="E8" s="102">
        <v>14</v>
      </c>
      <c r="F8" s="102">
        <v>13</v>
      </c>
      <c r="G8" s="86"/>
      <c r="H8" s="86"/>
      <c r="I8" s="86"/>
      <c r="J8" s="86"/>
      <c r="K8" s="86"/>
      <c r="L8" s="86"/>
      <c r="M8" s="86"/>
      <c r="N8" s="86"/>
    </row>
    <row r="9" spans="1:14" ht="18" customHeight="1">
      <c r="A9" s="105"/>
      <c r="B9" s="105" t="s">
        <v>167</v>
      </c>
      <c r="C9" s="55" t="s">
        <v>168</v>
      </c>
      <c r="D9" s="55"/>
      <c r="E9" s="102">
        <v>250</v>
      </c>
      <c r="F9" s="102">
        <v>250</v>
      </c>
      <c r="G9" s="86"/>
      <c r="H9" s="86"/>
      <c r="I9" s="86"/>
      <c r="J9" s="86"/>
      <c r="K9" s="86"/>
      <c r="L9" s="86"/>
      <c r="M9" s="86"/>
      <c r="N9" s="86"/>
    </row>
    <row r="10" spans="1:14" ht="18" customHeight="1">
      <c r="A10" s="105"/>
      <c r="B10" s="105"/>
      <c r="C10" s="55" t="s">
        <v>169</v>
      </c>
      <c r="D10" s="55"/>
      <c r="E10" s="102">
        <v>184</v>
      </c>
      <c r="F10" s="102">
        <v>195</v>
      </c>
      <c r="G10" s="86"/>
      <c r="H10" s="86"/>
      <c r="I10" s="86"/>
      <c r="J10" s="86"/>
      <c r="K10" s="86"/>
      <c r="L10" s="86"/>
      <c r="M10" s="86"/>
      <c r="N10" s="86"/>
    </row>
    <row r="11" spans="1:14" ht="18" customHeight="1">
      <c r="A11" s="105"/>
      <c r="B11" s="105"/>
      <c r="C11" s="55" t="s">
        <v>170</v>
      </c>
      <c r="D11" s="55"/>
      <c r="E11" s="102">
        <v>0</v>
      </c>
      <c r="F11" s="102">
        <v>0</v>
      </c>
      <c r="G11" s="86"/>
      <c r="H11" s="86"/>
      <c r="I11" s="86"/>
      <c r="J11" s="86"/>
      <c r="K11" s="86"/>
      <c r="L11" s="86"/>
      <c r="M11" s="86"/>
      <c r="N11" s="86"/>
    </row>
    <row r="12" spans="1:14" ht="18" customHeight="1">
      <c r="A12" s="105"/>
      <c r="B12" s="105"/>
      <c r="C12" s="55" t="s">
        <v>171</v>
      </c>
      <c r="D12" s="55"/>
      <c r="E12" s="102">
        <v>63.5</v>
      </c>
      <c r="F12" s="102">
        <v>52.5</v>
      </c>
      <c r="G12" s="86"/>
      <c r="H12" s="86"/>
      <c r="I12" s="86"/>
      <c r="J12" s="86"/>
      <c r="K12" s="86"/>
      <c r="L12" s="86"/>
      <c r="M12" s="86"/>
      <c r="N12" s="86"/>
    </row>
    <row r="13" spans="1:14" ht="18" customHeight="1">
      <c r="A13" s="105"/>
      <c r="B13" s="105"/>
      <c r="C13" s="55" t="s">
        <v>172</v>
      </c>
      <c r="D13" s="55"/>
      <c r="E13" s="102"/>
      <c r="F13" s="102">
        <v>0</v>
      </c>
      <c r="G13" s="86"/>
      <c r="H13" s="86"/>
      <c r="I13" s="86"/>
      <c r="J13" s="86"/>
      <c r="K13" s="86"/>
      <c r="L13" s="86"/>
      <c r="M13" s="86"/>
      <c r="N13" s="86"/>
    </row>
    <row r="14" spans="1:14" ht="18" customHeight="1">
      <c r="A14" s="105"/>
      <c r="B14" s="105"/>
      <c r="C14" s="55" t="s">
        <v>78</v>
      </c>
      <c r="D14" s="55"/>
      <c r="E14" s="102">
        <v>2.5</v>
      </c>
      <c r="F14" s="102">
        <v>2.5</v>
      </c>
      <c r="G14" s="86"/>
      <c r="H14" s="86"/>
      <c r="I14" s="86"/>
      <c r="J14" s="86"/>
      <c r="K14" s="86"/>
      <c r="L14" s="86"/>
      <c r="M14" s="86"/>
      <c r="N14" s="86"/>
    </row>
    <row r="15" spans="1:14" ht="18" customHeight="1">
      <c r="A15" s="105" t="s">
        <v>173</v>
      </c>
      <c r="B15" s="105" t="s">
        <v>174</v>
      </c>
      <c r="C15" s="55" t="s">
        <v>175</v>
      </c>
      <c r="D15" s="55"/>
      <c r="E15" s="87">
        <v>51.6</v>
      </c>
      <c r="F15" s="87">
        <v>116.7</v>
      </c>
      <c r="G15" s="66"/>
      <c r="H15" s="66"/>
      <c r="I15" s="66"/>
      <c r="J15" s="66"/>
      <c r="K15" s="66"/>
      <c r="L15" s="66"/>
      <c r="M15" s="66"/>
      <c r="N15" s="66"/>
    </row>
    <row r="16" spans="1:14" ht="18" customHeight="1">
      <c r="A16" s="105"/>
      <c r="B16" s="105"/>
      <c r="C16" s="55" t="s">
        <v>176</v>
      </c>
      <c r="D16" s="55"/>
      <c r="E16" s="87">
        <v>439.7</v>
      </c>
      <c r="F16" s="87">
        <v>363.6</v>
      </c>
      <c r="G16" s="66"/>
      <c r="H16" s="66"/>
      <c r="I16" s="66"/>
      <c r="J16" s="66"/>
      <c r="K16" s="66"/>
      <c r="L16" s="66"/>
      <c r="M16" s="66"/>
      <c r="N16" s="66"/>
    </row>
    <row r="17" spans="1:15" ht="18" customHeight="1">
      <c r="A17" s="105"/>
      <c r="B17" s="105"/>
      <c r="C17" s="55" t="s">
        <v>177</v>
      </c>
      <c r="D17" s="55"/>
      <c r="E17" s="87">
        <v>0</v>
      </c>
      <c r="F17" s="87">
        <v>0</v>
      </c>
      <c r="G17" s="66"/>
      <c r="H17" s="66"/>
      <c r="I17" s="66"/>
      <c r="J17" s="66"/>
      <c r="K17" s="66"/>
      <c r="L17" s="66"/>
      <c r="M17" s="66"/>
      <c r="N17" s="66"/>
    </row>
    <row r="18" spans="1:15" ht="18" customHeight="1">
      <c r="A18" s="105"/>
      <c r="B18" s="105"/>
      <c r="C18" s="55" t="s">
        <v>178</v>
      </c>
      <c r="D18" s="55"/>
      <c r="E18" s="87">
        <v>491.4</v>
      </c>
      <c r="F18" s="87">
        <v>480.4</v>
      </c>
      <c r="G18" s="66"/>
      <c r="H18" s="66"/>
      <c r="I18" s="66"/>
      <c r="J18" s="66"/>
      <c r="K18" s="66"/>
      <c r="L18" s="66"/>
      <c r="M18" s="66"/>
      <c r="N18" s="66"/>
    </row>
    <row r="19" spans="1:15" ht="18" customHeight="1">
      <c r="A19" s="105"/>
      <c r="B19" s="105" t="s">
        <v>179</v>
      </c>
      <c r="C19" s="55" t="s">
        <v>180</v>
      </c>
      <c r="D19" s="55"/>
      <c r="E19" s="87">
        <v>25.2</v>
      </c>
      <c r="F19" s="87">
        <v>28.4</v>
      </c>
      <c r="G19" s="66"/>
      <c r="H19" s="66"/>
      <c r="I19" s="66"/>
      <c r="J19" s="66"/>
      <c r="K19" s="66"/>
      <c r="L19" s="66"/>
      <c r="M19" s="66"/>
      <c r="N19" s="66"/>
    </row>
    <row r="20" spans="1:15" ht="18" customHeight="1">
      <c r="A20" s="105"/>
      <c r="B20" s="105"/>
      <c r="C20" s="55" t="s">
        <v>181</v>
      </c>
      <c r="D20" s="55"/>
      <c r="E20" s="87">
        <v>98.1</v>
      </c>
      <c r="F20" s="87">
        <v>90.6</v>
      </c>
      <c r="G20" s="66"/>
      <c r="H20" s="66"/>
      <c r="I20" s="66"/>
      <c r="J20" s="66"/>
      <c r="K20" s="66"/>
      <c r="L20" s="66"/>
      <c r="M20" s="66"/>
      <c r="N20" s="66"/>
    </row>
    <row r="21" spans="1:15" ht="18" customHeight="1">
      <c r="A21" s="105"/>
      <c r="B21" s="105"/>
      <c r="C21" s="55" t="s">
        <v>182</v>
      </c>
      <c r="D21" s="55"/>
      <c r="E21" s="87">
        <v>0</v>
      </c>
      <c r="F21" s="87">
        <v>0</v>
      </c>
      <c r="G21" s="87"/>
      <c r="H21" s="87"/>
      <c r="I21" s="87"/>
      <c r="J21" s="87"/>
      <c r="K21" s="87"/>
      <c r="L21" s="87"/>
      <c r="M21" s="87"/>
      <c r="N21" s="87"/>
    </row>
    <row r="22" spans="1:15" ht="18" customHeight="1">
      <c r="A22" s="105"/>
      <c r="B22" s="105"/>
      <c r="C22" s="30" t="s">
        <v>183</v>
      </c>
      <c r="D22" s="30"/>
      <c r="E22" s="87">
        <v>123.3</v>
      </c>
      <c r="F22" s="87">
        <v>119.1</v>
      </c>
      <c r="G22" s="66"/>
      <c r="H22" s="66"/>
      <c r="I22" s="66"/>
      <c r="J22" s="66"/>
      <c r="K22" s="66"/>
      <c r="L22" s="66"/>
      <c r="M22" s="66"/>
      <c r="N22" s="66"/>
    </row>
    <row r="23" spans="1:15" ht="18" customHeight="1">
      <c r="A23" s="105"/>
      <c r="B23" s="105" t="s">
        <v>184</v>
      </c>
      <c r="C23" s="55" t="s">
        <v>185</v>
      </c>
      <c r="D23" s="55"/>
      <c r="E23" s="87">
        <v>250</v>
      </c>
      <c r="F23" s="87">
        <v>250</v>
      </c>
      <c r="G23" s="66"/>
      <c r="H23" s="66"/>
      <c r="I23" s="66"/>
      <c r="J23" s="66"/>
      <c r="K23" s="66"/>
      <c r="L23" s="66"/>
      <c r="M23" s="66"/>
      <c r="N23" s="66"/>
    </row>
    <row r="24" spans="1:15" ht="18" customHeight="1">
      <c r="A24" s="105"/>
      <c r="B24" s="105"/>
      <c r="C24" s="55" t="s">
        <v>186</v>
      </c>
      <c r="D24" s="55"/>
      <c r="E24" s="87">
        <v>118.7</v>
      </c>
      <c r="F24" s="87">
        <v>111.9</v>
      </c>
      <c r="G24" s="66"/>
      <c r="H24" s="66"/>
      <c r="I24" s="66"/>
      <c r="J24" s="66"/>
      <c r="K24" s="66"/>
      <c r="L24" s="66"/>
      <c r="M24" s="66"/>
      <c r="N24" s="66"/>
    </row>
    <row r="25" spans="1:15" ht="18" customHeight="1">
      <c r="A25" s="105"/>
      <c r="B25" s="105"/>
      <c r="C25" s="55" t="s">
        <v>187</v>
      </c>
      <c r="D25" s="55"/>
      <c r="E25" s="87">
        <v>0</v>
      </c>
      <c r="F25" s="87">
        <v>0</v>
      </c>
      <c r="G25" s="66"/>
      <c r="H25" s="66"/>
      <c r="I25" s="66"/>
      <c r="J25" s="66"/>
      <c r="K25" s="66"/>
      <c r="L25" s="66"/>
      <c r="M25" s="66"/>
      <c r="N25" s="66"/>
    </row>
    <row r="26" spans="1:15" ht="18" customHeight="1">
      <c r="A26" s="105"/>
      <c r="B26" s="105"/>
      <c r="C26" s="55" t="s">
        <v>188</v>
      </c>
      <c r="D26" s="55"/>
      <c r="E26" s="87">
        <v>368.1</v>
      </c>
      <c r="F26" s="87">
        <v>361.2</v>
      </c>
      <c r="G26" s="66"/>
      <c r="H26" s="66"/>
      <c r="I26" s="66"/>
      <c r="J26" s="66"/>
      <c r="K26" s="66"/>
      <c r="L26" s="66"/>
      <c r="M26" s="66"/>
      <c r="N26" s="66"/>
    </row>
    <row r="27" spans="1:15" ht="18" customHeight="1">
      <c r="A27" s="105"/>
      <c r="B27" s="55" t="s">
        <v>189</v>
      </c>
      <c r="C27" s="55"/>
      <c r="D27" s="55"/>
      <c r="E27" s="87">
        <v>491.4</v>
      </c>
      <c r="F27" s="87">
        <v>480.4</v>
      </c>
      <c r="G27" s="66"/>
      <c r="H27" s="66"/>
      <c r="I27" s="66"/>
      <c r="J27" s="66"/>
      <c r="K27" s="66"/>
      <c r="L27" s="66"/>
      <c r="M27" s="66"/>
      <c r="N27" s="66"/>
    </row>
    <row r="28" spans="1:15" ht="18" customHeight="1">
      <c r="A28" s="105" t="s">
        <v>190</v>
      </c>
      <c r="B28" s="105" t="s">
        <v>191</v>
      </c>
      <c r="C28" s="55" t="s">
        <v>192</v>
      </c>
      <c r="D28" s="88" t="s">
        <v>36</v>
      </c>
      <c r="E28" s="87">
        <v>166</v>
      </c>
      <c r="F28" s="87">
        <v>182.3</v>
      </c>
      <c r="G28" s="66"/>
      <c r="H28" s="66"/>
      <c r="I28" s="66"/>
      <c r="J28" s="66"/>
      <c r="K28" s="66"/>
      <c r="L28" s="66"/>
      <c r="M28" s="66"/>
      <c r="N28" s="66"/>
    </row>
    <row r="29" spans="1:15" ht="18" customHeight="1">
      <c r="A29" s="105"/>
      <c r="B29" s="105"/>
      <c r="C29" s="55" t="s">
        <v>193</v>
      </c>
      <c r="D29" s="88" t="s">
        <v>37</v>
      </c>
      <c r="E29" s="87">
        <v>0</v>
      </c>
      <c r="F29" s="87">
        <v>24.3</v>
      </c>
      <c r="G29" s="66"/>
      <c r="H29" s="66"/>
      <c r="I29" s="66"/>
      <c r="J29" s="66"/>
      <c r="K29" s="66"/>
      <c r="L29" s="66"/>
      <c r="M29" s="66"/>
      <c r="N29" s="66"/>
    </row>
    <row r="30" spans="1:15" ht="18" customHeight="1">
      <c r="A30" s="105"/>
      <c r="B30" s="105"/>
      <c r="C30" s="55" t="s">
        <v>194</v>
      </c>
      <c r="D30" s="88" t="s">
        <v>195</v>
      </c>
      <c r="E30" s="87">
        <v>156</v>
      </c>
      <c r="F30" s="87">
        <v>149.6</v>
      </c>
      <c r="G30" s="66"/>
      <c r="H30" s="66"/>
      <c r="I30" s="66"/>
      <c r="J30" s="66"/>
      <c r="K30" s="66"/>
      <c r="L30" s="66"/>
      <c r="M30" s="66"/>
      <c r="N30" s="66"/>
    </row>
    <row r="31" spans="1:15" ht="18" customHeight="1">
      <c r="A31" s="105"/>
      <c r="B31" s="105"/>
      <c r="C31" s="30" t="s">
        <v>196</v>
      </c>
      <c r="D31" s="88" t="s">
        <v>197</v>
      </c>
      <c r="E31" s="87">
        <f t="shared" ref="E31:F31" si="0">E28-E29-E30</f>
        <v>10</v>
      </c>
      <c r="F31" s="87">
        <f t="shared" si="0"/>
        <v>8.4000000000000057</v>
      </c>
      <c r="G31" s="66">
        <f t="shared" ref="G31:N31" si="1">G28-G29-G30</f>
        <v>0</v>
      </c>
      <c r="H31" s="66">
        <f t="shared" si="1"/>
        <v>0</v>
      </c>
      <c r="I31" s="66">
        <f t="shared" si="1"/>
        <v>0</v>
      </c>
      <c r="J31" s="66">
        <f t="shared" si="1"/>
        <v>0</v>
      </c>
      <c r="K31" s="66">
        <f t="shared" si="1"/>
        <v>0</v>
      </c>
      <c r="L31" s="66">
        <f t="shared" si="1"/>
        <v>0</v>
      </c>
      <c r="M31" s="66">
        <f t="shared" si="1"/>
        <v>0</v>
      </c>
      <c r="N31" s="66">
        <f t="shared" si="1"/>
        <v>0</v>
      </c>
      <c r="O31" s="7"/>
    </row>
    <row r="32" spans="1:15" ht="18" customHeight="1">
      <c r="A32" s="105"/>
      <c r="B32" s="105"/>
      <c r="C32" s="55" t="s">
        <v>198</v>
      </c>
      <c r="D32" s="88" t="s">
        <v>199</v>
      </c>
      <c r="E32" s="87">
        <v>0.2</v>
      </c>
      <c r="F32" s="87">
        <v>0.04</v>
      </c>
      <c r="G32" s="66"/>
      <c r="H32" s="66"/>
      <c r="I32" s="66"/>
      <c r="J32" s="66"/>
      <c r="K32" s="66"/>
      <c r="L32" s="66"/>
      <c r="M32" s="66"/>
      <c r="N32" s="66"/>
    </row>
    <row r="33" spans="1:14" ht="18" customHeight="1">
      <c r="A33" s="105"/>
      <c r="B33" s="105"/>
      <c r="C33" s="55" t="s">
        <v>200</v>
      </c>
      <c r="D33" s="88" t="s">
        <v>201</v>
      </c>
      <c r="E33" s="87">
        <v>0.1</v>
      </c>
      <c r="F33" s="87">
        <v>0.2</v>
      </c>
      <c r="G33" s="66"/>
      <c r="H33" s="66"/>
      <c r="I33" s="66"/>
      <c r="J33" s="66"/>
      <c r="K33" s="66"/>
      <c r="L33" s="66"/>
      <c r="M33" s="66"/>
      <c r="N33" s="66"/>
    </row>
    <row r="34" spans="1:14" ht="18" customHeight="1">
      <c r="A34" s="105"/>
      <c r="B34" s="105"/>
      <c r="C34" s="30" t="s">
        <v>202</v>
      </c>
      <c r="D34" s="88" t="s">
        <v>203</v>
      </c>
      <c r="E34" s="87">
        <f t="shared" ref="E34:F34" si="2">E31+E32-E33</f>
        <v>10.1</v>
      </c>
      <c r="F34" s="87">
        <f t="shared" si="2"/>
        <v>8.2400000000000055</v>
      </c>
      <c r="G34" s="66">
        <f t="shared" ref="G34:N34" si="3">G31+G32-G33</f>
        <v>0</v>
      </c>
      <c r="H34" s="66">
        <f t="shared" si="3"/>
        <v>0</v>
      </c>
      <c r="I34" s="66">
        <f t="shared" si="3"/>
        <v>0</v>
      </c>
      <c r="J34" s="66">
        <f t="shared" si="3"/>
        <v>0</v>
      </c>
      <c r="K34" s="66">
        <f t="shared" si="3"/>
        <v>0</v>
      </c>
      <c r="L34" s="66">
        <f t="shared" si="3"/>
        <v>0</v>
      </c>
      <c r="M34" s="66">
        <f t="shared" si="3"/>
        <v>0</v>
      </c>
      <c r="N34" s="66">
        <f t="shared" si="3"/>
        <v>0</v>
      </c>
    </row>
    <row r="35" spans="1:14" ht="18" customHeight="1">
      <c r="A35" s="105"/>
      <c r="B35" s="105" t="s">
        <v>204</v>
      </c>
      <c r="C35" s="55" t="s">
        <v>205</v>
      </c>
      <c r="D35" s="88" t="s">
        <v>206</v>
      </c>
      <c r="E35" s="87">
        <v>5.6</v>
      </c>
      <c r="F35" s="87">
        <v>0</v>
      </c>
      <c r="G35" s="66"/>
      <c r="H35" s="66"/>
      <c r="I35" s="66"/>
      <c r="J35" s="66"/>
      <c r="K35" s="66"/>
      <c r="L35" s="66"/>
      <c r="M35" s="66"/>
      <c r="N35" s="66"/>
    </row>
    <row r="36" spans="1:14" ht="18" customHeight="1">
      <c r="A36" s="105"/>
      <c r="B36" s="105"/>
      <c r="C36" s="55" t="s">
        <v>207</v>
      </c>
      <c r="D36" s="88" t="s">
        <v>208</v>
      </c>
      <c r="E36" s="87">
        <v>5.6</v>
      </c>
      <c r="F36" s="87">
        <v>0</v>
      </c>
      <c r="G36" s="66"/>
      <c r="H36" s="66"/>
      <c r="I36" s="66"/>
      <c r="J36" s="66"/>
      <c r="K36" s="66"/>
      <c r="L36" s="66"/>
      <c r="M36" s="66"/>
      <c r="N36" s="66"/>
    </row>
    <row r="37" spans="1:14" ht="18" customHeight="1">
      <c r="A37" s="105"/>
      <c r="B37" s="105"/>
      <c r="C37" s="55" t="s">
        <v>209</v>
      </c>
      <c r="D37" s="88" t="s">
        <v>210</v>
      </c>
      <c r="E37" s="87">
        <f t="shared" ref="E37:F37" si="4">E34+E35-E36</f>
        <v>10.1</v>
      </c>
      <c r="F37" s="87">
        <f t="shared" si="4"/>
        <v>8.2400000000000055</v>
      </c>
      <c r="G37" s="66">
        <f t="shared" ref="G37:N37" si="5">G34+G35-G36</f>
        <v>0</v>
      </c>
      <c r="H37" s="66">
        <f t="shared" si="5"/>
        <v>0</v>
      </c>
      <c r="I37" s="66">
        <f t="shared" si="5"/>
        <v>0</v>
      </c>
      <c r="J37" s="66">
        <f t="shared" si="5"/>
        <v>0</v>
      </c>
      <c r="K37" s="66">
        <f t="shared" si="5"/>
        <v>0</v>
      </c>
      <c r="L37" s="66">
        <f t="shared" si="5"/>
        <v>0</v>
      </c>
      <c r="M37" s="66">
        <f t="shared" si="5"/>
        <v>0</v>
      </c>
      <c r="N37" s="66">
        <f t="shared" si="5"/>
        <v>0</v>
      </c>
    </row>
    <row r="38" spans="1:14" ht="18" customHeight="1">
      <c r="A38" s="105"/>
      <c r="B38" s="105"/>
      <c r="C38" s="55" t="s">
        <v>211</v>
      </c>
      <c r="D38" s="88" t="s">
        <v>212</v>
      </c>
      <c r="E38" s="87">
        <v>0</v>
      </c>
      <c r="F38" s="87">
        <v>0</v>
      </c>
      <c r="G38" s="66"/>
      <c r="H38" s="66"/>
      <c r="I38" s="66"/>
      <c r="J38" s="66"/>
      <c r="K38" s="66"/>
      <c r="L38" s="66"/>
      <c r="M38" s="66"/>
      <c r="N38" s="66"/>
    </row>
    <row r="39" spans="1:14" ht="18" customHeight="1">
      <c r="A39" s="105"/>
      <c r="B39" s="105"/>
      <c r="C39" s="55" t="s">
        <v>213</v>
      </c>
      <c r="D39" s="88" t="s">
        <v>214</v>
      </c>
      <c r="E39" s="87">
        <v>0</v>
      </c>
      <c r="F39" s="87">
        <v>0</v>
      </c>
      <c r="G39" s="66"/>
      <c r="H39" s="66"/>
      <c r="I39" s="66"/>
      <c r="J39" s="66"/>
      <c r="K39" s="66"/>
      <c r="L39" s="66"/>
      <c r="M39" s="66"/>
      <c r="N39" s="66"/>
    </row>
    <row r="40" spans="1:14" ht="18" customHeight="1">
      <c r="A40" s="105"/>
      <c r="B40" s="105"/>
      <c r="C40" s="55" t="s">
        <v>215</v>
      </c>
      <c r="D40" s="88" t="s">
        <v>216</v>
      </c>
      <c r="E40" s="87">
        <v>3.3</v>
      </c>
      <c r="F40" s="87">
        <v>2.6</v>
      </c>
      <c r="G40" s="66"/>
      <c r="H40" s="66"/>
      <c r="I40" s="66"/>
      <c r="J40" s="66"/>
      <c r="K40" s="66"/>
      <c r="L40" s="66"/>
      <c r="M40" s="66"/>
      <c r="N40" s="66"/>
    </row>
    <row r="41" spans="1:14" ht="18" customHeight="1">
      <c r="A41" s="105"/>
      <c r="B41" s="105"/>
      <c r="C41" s="30" t="s">
        <v>217</v>
      </c>
      <c r="D41" s="88" t="s">
        <v>218</v>
      </c>
      <c r="E41" s="87">
        <f t="shared" ref="E41:F41" si="6">E34+E35-E36-E40</f>
        <v>6.8</v>
      </c>
      <c r="F41" s="87">
        <f t="shared" si="6"/>
        <v>5.6400000000000059</v>
      </c>
      <c r="G41" s="66">
        <f t="shared" ref="G41:N41" si="7">G34+G35-G36-G40</f>
        <v>0</v>
      </c>
      <c r="H41" s="66">
        <f t="shared" si="7"/>
        <v>0</v>
      </c>
      <c r="I41" s="66">
        <f t="shared" si="7"/>
        <v>0</v>
      </c>
      <c r="J41" s="66">
        <f t="shared" si="7"/>
        <v>0</v>
      </c>
      <c r="K41" s="66">
        <f t="shared" si="7"/>
        <v>0</v>
      </c>
      <c r="L41" s="66">
        <f t="shared" si="7"/>
        <v>0</v>
      </c>
      <c r="M41" s="66">
        <f t="shared" si="7"/>
        <v>0</v>
      </c>
      <c r="N41" s="66">
        <f t="shared" si="7"/>
        <v>0</v>
      </c>
    </row>
    <row r="42" spans="1:14" ht="18" customHeight="1">
      <c r="A42" s="105"/>
      <c r="B42" s="105"/>
      <c r="C42" s="129" t="s">
        <v>219</v>
      </c>
      <c r="D42" s="129"/>
      <c r="E42" s="87">
        <f t="shared" ref="E42:F42" si="8">E37+E38-E39-E40</f>
        <v>6.8</v>
      </c>
      <c r="F42" s="87">
        <f t="shared" si="8"/>
        <v>5.6400000000000059</v>
      </c>
      <c r="G42" s="66">
        <f t="shared" ref="G42:N42" si="9">G37+G38-G39-G40</f>
        <v>0</v>
      </c>
      <c r="H42" s="66">
        <f t="shared" si="9"/>
        <v>0</v>
      </c>
      <c r="I42" s="66">
        <f t="shared" si="9"/>
        <v>0</v>
      </c>
      <c r="J42" s="66">
        <f t="shared" si="9"/>
        <v>0</v>
      </c>
      <c r="K42" s="66">
        <f t="shared" si="9"/>
        <v>0</v>
      </c>
      <c r="L42" s="66">
        <f t="shared" si="9"/>
        <v>0</v>
      </c>
      <c r="M42" s="66">
        <f t="shared" si="9"/>
        <v>0</v>
      </c>
      <c r="N42" s="66">
        <f t="shared" si="9"/>
        <v>0</v>
      </c>
    </row>
    <row r="43" spans="1:14" ht="18" customHeight="1">
      <c r="A43" s="105"/>
      <c r="B43" s="105"/>
      <c r="C43" s="55" t="s">
        <v>220</v>
      </c>
      <c r="D43" s="88" t="s">
        <v>221</v>
      </c>
      <c r="E43" s="87">
        <v>112</v>
      </c>
      <c r="F43" s="87">
        <v>106.3</v>
      </c>
      <c r="G43" s="66"/>
      <c r="H43" s="66"/>
      <c r="I43" s="66"/>
      <c r="J43" s="66"/>
      <c r="K43" s="66"/>
      <c r="L43" s="66"/>
      <c r="M43" s="66"/>
      <c r="N43" s="66"/>
    </row>
    <row r="44" spans="1:14" ht="18" customHeight="1">
      <c r="A44" s="105"/>
      <c r="B44" s="105"/>
      <c r="C44" s="30" t="s">
        <v>222</v>
      </c>
      <c r="D44" s="65" t="s">
        <v>223</v>
      </c>
      <c r="E44" s="87">
        <f>E41+E43</f>
        <v>118.8</v>
      </c>
      <c r="F44" s="87">
        <f t="shared" ref="F44" si="10">F41+F43</f>
        <v>111.94</v>
      </c>
      <c r="G44" s="66">
        <f t="shared" ref="G44:N44" si="11">G41+G43</f>
        <v>0</v>
      </c>
      <c r="H44" s="66">
        <f t="shared" si="11"/>
        <v>0</v>
      </c>
      <c r="I44" s="66">
        <f t="shared" si="11"/>
        <v>0</v>
      </c>
      <c r="J44" s="66">
        <f t="shared" si="11"/>
        <v>0</v>
      </c>
      <c r="K44" s="66">
        <f t="shared" si="11"/>
        <v>0</v>
      </c>
      <c r="L44" s="66">
        <f t="shared" si="11"/>
        <v>0</v>
      </c>
      <c r="M44" s="66">
        <f t="shared" si="11"/>
        <v>0</v>
      </c>
      <c r="N44" s="66">
        <f t="shared" si="11"/>
        <v>0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49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優貴</cp:lastModifiedBy>
  <cp:lastPrinted>2022-07-07T08:41:34Z</cp:lastPrinted>
  <dcterms:created xsi:type="dcterms:W3CDTF">1999-07-06T05:17:05Z</dcterms:created>
  <dcterms:modified xsi:type="dcterms:W3CDTF">2024-08-28T06:38:12Z</dcterms:modified>
</cp:coreProperties>
</file>