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LB18Z0654\share\☆総括係\450調査担当（照会関係）\R7（志原）\04 その他照会・通知(臨時交付金あり)\250717 【地方債協会(調達担当から転送)】 0829〆 都道府県及び指定都市の財政状況について\04とりまとめ＆回答\"/>
    </mc:Choice>
  </mc:AlternateContent>
  <xr:revisionPtr revIDLastSave="0" documentId="13_ncr:1_{89DAE499-B5D1-4B7B-98BF-9F2AB068B959}" xr6:coauthVersionLast="47" xr6:coauthVersionMax="47" xr10:uidLastSave="{00000000-0000-0000-0000-000000000000}"/>
  <bookViews>
    <workbookView xWindow="28680" yWindow="-1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'2.公営企業会計予算(R6-7年度)'!$A$1:$U$49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'4.公営企業会計決算（R4-5年度）'!$A$1:$U$49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7" l="1"/>
  <c r="I24" i="7"/>
  <c r="I15" i="7"/>
  <c r="I14" i="7"/>
  <c r="J44" i="8"/>
  <c r="I27" i="7"/>
  <c r="H21" i="7"/>
  <c r="H24" i="7" s="1"/>
  <c r="H27" i="7" s="1"/>
  <c r="H16" i="7"/>
  <c r="H17" i="7" s="1"/>
  <c r="H15" i="7"/>
  <c r="H12" i="7"/>
  <c r="H9" i="7"/>
  <c r="H14" i="7" s="1"/>
  <c r="I21" i="4"/>
  <c r="I24" i="4" s="1"/>
  <c r="I27" i="4" s="1"/>
  <c r="H21" i="4"/>
  <c r="H24" i="4" s="1"/>
  <c r="H27" i="4" s="1"/>
  <c r="H17" i="4"/>
  <c r="I16" i="4"/>
  <c r="H16" i="4"/>
  <c r="I15" i="4"/>
  <c r="H15" i="4"/>
  <c r="I12" i="4"/>
  <c r="I14" i="4" s="1"/>
  <c r="H12" i="4"/>
  <c r="H14" i="4" s="1"/>
  <c r="I9" i="4"/>
  <c r="H9" i="4"/>
  <c r="I31" i="8" l="1"/>
  <c r="I34" i="8" s="1"/>
  <c r="I26" i="8"/>
  <c r="I22" i="8"/>
  <c r="I27" i="8" s="1"/>
  <c r="I18" i="8"/>
  <c r="T27" i="7"/>
  <c r="Q27" i="7"/>
  <c r="P27" i="7"/>
  <c r="K27" i="7"/>
  <c r="J27" i="7"/>
  <c r="U24" i="7"/>
  <c r="U27" i="7" s="1"/>
  <c r="T24" i="7"/>
  <c r="S24" i="7"/>
  <c r="S27" i="7" s="1"/>
  <c r="R24" i="7"/>
  <c r="R27" i="7" s="1"/>
  <c r="Q24" i="7"/>
  <c r="P24" i="7"/>
  <c r="O24" i="7"/>
  <c r="O27" i="7" s="1"/>
  <c r="N24" i="7"/>
  <c r="N27" i="7" s="1"/>
  <c r="M24" i="7"/>
  <c r="M27" i="7" s="1"/>
  <c r="L24" i="7"/>
  <c r="L27" i="7" s="1"/>
  <c r="K24" i="7"/>
  <c r="J24" i="7"/>
  <c r="T23" i="7"/>
  <c r="T22" i="7"/>
  <c r="T21" i="7"/>
  <c r="T19" i="7"/>
  <c r="U16" i="7"/>
  <c r="T16" i="7"/>
  <c r="S16" i="7"/>
  <c r="R16" i="7"/>
  <c r="Q16" i="7"/>
  <c r="P16" i="7"/>
  <c r="O16" i="7"/>
  <c r="N16" i="7"/>
  <c r="M16" i="7"/>
  <c r="L16" i="7"/>
  <c r="K16" i="7"/>
  <c r="J16" i="7"/>
  <c r="U15" i="7"/>
  <c r="T15" i="7"/>
  <c r="S15" i="7"/>
  <c r="R15" i="7"/>
  <c r="Q15" i="7"/>
  <c r="P15" i="7"/>
  <c r="O15" i="7"/>
  <c r="N15" i="7"/>
  <c r="M15" i="7"/>
  <c r="L15" i="7"/>
  <c r="K15" i="7"/>
  <c r="J15" i="7"/>
  <c r="U14" i="7"/>
  <c r="T14" i="7"/>
  <c r="S14" i="7"/>
  <c r="R14" i="7"/>
  <c r="Q14" i="7"/>
  <c r="P14" i="7"/>
  <c r="O14" i="7"/>
  <c r="N14" i="7"/>
  <c r="M14" i="7"/>
  <c r="L14" i="7"/>
  <c r="K14" i="7"/>
  <c r="J14" i="7"/>
  <c r="T13" i="7"/>
  <c r="T12" i="7"/>
  <c r="T11" i="7"/>
  <c r="T9" i="7"/>
  <c r="T8" i="7"/>
  <c r="S44" i="7"/>
  <c r="R44" i="7"/>
  <c r="Q44" i="7"/>
  <c r="P44" i="7"/>
  <c r="O44" i="7"/>
  <c r="O45" i="7" s="1"/>
  <c r="N44" i="7"/>
  <c r="N45" i="7" s="1"/>
  <c r="S39" i="7"/>
  <c r="S45" i="7" s="1"/>
  <c r="R39" i="7"/>
  <c r="R45" i="7" s="1"/>
  <c r="Q39" i="7"/>
  <c r="Q45" i="7" s="1"/>
  <c r="P39" i="7"/>
  <c r="P45" i="7" s="1"/>
  <c r="O39" i="7"/>
  <c r="N39" i="7"/>
  <c r="Q27" i="4"/>
  <c r="P27" i="4"/>
  <c r="O27" i="4"/>
  <c r="N27" i="4"/>
  <c r="M27" i="4"/>
  <c r="L27" i="4"/>
  <c r="K27" i="4"/>
  <c r="J27" i="4"/>
  <c r="U24" i="4"/>
  <c r="U27" i="4" s="1"/>
  <c r="T24" i="4"/>
  <c r="T27" i="4" s="1"/>
  <c r="S24" i="4"/>
  <c r="S27" i="4" s="1"/>
  <c r="R24" i="4"/>
  <c r="R27" i="4" s="1"/>
  <c r="Q24" i="4"/>
  <c r="P24" i="4"/>
  <c r="N24" i="4"/>
  <c r="M24" i="4"/>
  <c r="L24" i="4"/>
  <c r="K24" i="4"/>
  <c r="J24" i="4"/>
  <c r="T22" i="4"/>
  <c r="T21" i="4"/>
  <c r="T19" i="4"/>
  <c r="U16" i="4"/>
  <c r="T16" i="4"/>
  <c r="S16" i="4"/>
  <c r="R16" i="4"/>
  <c r="Q16" i="4"/>
  <c r="P16" i="4"/>
  <c r="O16" i="4"/>
  <c r="N16" i="4"/>
  <c r="M16" i="4"/>
  <c r="L16" i="4"/>
  <c r="K16" i="4"/>
  <c r="J16" i="4"/>
  <c r="U15" i="4"/>
  <c r="S15" i="4"/>
  <c r="R15" i="4"/>
  <c r="Q15" i="4"/>
  <c r="P15" i="4"/>
  <c r="O15" i="4"/>
  <c r="N15" i="4"/>
  <c r="M15" i="4"/>
  <c r="L15" i="4"/>
  <c r="K15" i="4"/>
  <c r="J15" i="4"/>
  <c r="U14" i="4"/>
  <c r="S14" i="4"/>
  <c r="R14" i="4"/>
  <c r="Q14" i="4"/>
  <c r="P14" i="4"/>
  <c r="O14" i="4"/>
  <c r="N14" i="4"/>
  <c r="M14" i="4"/>
  <c r="L14" i="4"/>
  <c r="K14" i="4"/>
  <c r="J14" i="4"/>
  <c r="T13" i="4"/>
  <c r="T15" i="4" s="1"/>
  <c r="T12" i="4"/>
  <c r="T14" i="4" s="1"/>
  <c r="T11" i="4"/>
  <c r="T10" i="4"/>
  <c r="T9" i="4"/>
  <c r="T8" i="4"/>
  <c r="S44" i="4"/>
  <c r="R44" i="4"/>
  <c r="Q44" i="4"/>
  <c r="P44" i="4"/>
  <c r="O44" i="4"/>
  <c r="O45" i="4" s="1"/>
  <c r="N44" i="4"/>
  <c r="N45" i="4" s="1"/>
  <c r="S39" i="4"/>
  <c r="S45" i="4" s="1"/>
  <c r="R39" i="4"/>
  <c r="R45" i="4" s="1"/>
  <c r="Q39" i="4"/>
  <c r="Q45" i="4" s="1"/>
  <c r="P39" i="4"/>
  <c r="P45" i="4" s="1"/>
  <c r="O39" i="4"/>
  <c r="N39" i="4"/>
  <c r="I41" i="8" l="1"/>
  <c r="I44" i="8" s="1"/>
  <c r="I37" i="8"/>
  <c r="I42" i="8" s="1"/>
  <c r="J42" i="8"/>
  <c r="L34" i="8"/>
  <c r="L37" i="8" s="1"/>
  <c r="L42" i="8" s="1"/>
  <c r="K31" i="8"/>
  <c r="K34" i="8" s="1"/>
  <c r="L41" i="8" l="1"/>
  <c r="L44" i="8" s="1"/>
  <c r="K37" i="8"/>
  <c r="K42" i="8" s="1"/>
  <c r="K41" i="8"/>
  <c r="K44" i="8" s="1"/>
  <c r="F34" i="8" l="1"/>
  <c r="F41" i="8" s="1"/>
  <c r="F44" i="8" s="1"/>
  <c r="E34" i="8"/>
  <c r="E41" i="8" s="1"/>
  <c r="E44" i="8" s="1"/>
  <c r="H31" i="8"/>
  <c r="H34" i="8" s="1"/>
  <c r="G31" i="8"/>
  <c r="G34" i="8" s="1"/>
  <c r="E31" i="8"/>
  <c r="G26" i="8"/>
  <c r="G22" i="8"/>
  <c r="F22" i="8"/>
  <c r="E22" i="8"/>
  <c r="G18" i="8"/>
  <c r="G47" i="7"/>
  <c r="G48" i="7" s="1"/>
  <c r="F47" i="7"/>
  <c r="F48" i="7" s="1"/>
  <c r="G43" i="7"/>
  <c r="F43" i="7"/>
  <c r="G42" i="7"/>
  <c r="F42" i="7"/>
  <c r="G41" i="7"/>
  <c r="F41" i="7"/>
  <c r="G40" i="7"/>
  <c r="F40" i="7"/>
  <c r="G38" i="7"/>
  <c r="F38" i="7"/>
  <c r="G37" i="7"/>
  <c r="F37" i="7"/>
  <c r="G36" i="7"/>
  <c r="F36" i="7"/>
  <c r="G34" i="7"/>
  <c r="F34" i="7"/>
  <c r="G33" i="7"/>
  <c r="F33" i="7"/>
  <c r="G32" i="7"/>
  <c r="G39" i="7" s="1"/>
  <c r="F32" i="7"/>
  <c r="F39" i="7" s="1"/>
  <c r="G25" i="7"/>
  <c r="F25" i="7"/>
  <c r="G24" i="7"/>
  <c r="G27" i="7" s="1"/>
  <c r="F24" i="7"/>
  <c r="G16" i="7"/>
  <c r="F16" i="7"/>
  <c r="G15" i="7"/>
  <c r="F15" i="7"/>
  <c r="G14" i="7"/>
  <c r="F14" i="7"/>
  <c r="F43" i="4"/>
  <c r="G42" i="4"/>
  <c r="F42" i="4"/>
  <c r="F44" i="4" s="1"/>
  <c r="G41" i="4"/>
  <c r="F41" i="4"/>
  <c r="G40" i="4"/>
  <c r="F40" i="4"/>
  <c r="G38" i="4"/>
  <c r="F38" i="4"/>
  <c r="G37" i="4"/>
  <c r="G36" i="4"/>
  <c r="F36" i="4"/>
  <c r="G34" i="4"/>
  <c r="F34" i="4"/>
  <c r="G33" i="4"/>
  <c r="G32" i="4" s="1"/>
  <c r="G39" i="4" s="1"/>
  <c r="F33" i="4"/>
  <c r="F32" i="4" s="1"/>
  <c r="F39" i="4" s="1"/>
  <c r="G24" i="4"/>
  <c r="G27" i="4" s="1"/>
  <c r="F24" i="4"/>
  <c r="F27" i="4" s="1"/>
  <c r="G16" i="4"/>
  <c r="F16" i="4"/>
  <c r="G15" i="4"/>
  <c r="F15" i="4"/>
  <c r="G14" i="4"/>
  <c r="F14" i="4"/>
  <c r="F44" i="7" l="1"/>
  <c r="F45" i="7" s="1"/>
  <c r="G44" i="7"/>
  <c r="G45" i="7" s="1"/>
  <c r="F27" i="7"/>
  <c r="G44" i="4"/>
  <c r="F45" i="4"/>
  <c r="G27" i="8"/>
  <c r="G41" i="8"/>
  <c r="G44" i="8" s="1"/>
  <c r="G37" i="8"/>
  <c r="G42" i="8" s="1"/>
  <c r="H41" i="8"/>
  <c r="H44" i="8" s="1"/>
  <c r="H37" i="8"/>
  <c r="H42" i="8" s="1"/>
  <c r="E37" i="8"/>
  <c r="E42" i="8" s="1"/>
  <c r="F37" i="8"/>
  <c r="F42" i="8" s="1"/>
  <c r="G45" i="4"/>
  <c r="F28" i="2" l="1"/>
  <c r="F32" i="2" s="1"/>
  <c r="F39" i="2"/>
  <c r="F39" i="5"/>
  <c r="F28" i="5"/>
  <c r="F32" i="5"/>
  <c r="I19" i="6" l="1"/>
  <c r="H27" i="6"/>
  <c r="G27" i="6"/>
  <c r="F27" i="6"/>
  <c r="E27" i="6"/>
  <c r="I27" i="6"/>
  <c r="F27" i="5"/>
  <c r="I9" i="2" l="1"/>
  <c r="F45" i="2"/>
  <c r="G45" i="2" s="1"/>
  <c r="F27" i="2"/>
  <c r="G27" i="2" s="1"/>
  <c r="G19" i="5"/>
  <c r="N31" i="8"/>
  <c r="N34" i="8" s="1"/>
  <c r="M31" i="8"/>
  <c r="M34" i="8" s="1"/>
  <c r="U44" i="7"/>
  <c r="T44" i="7"/>
  <c r="M44" i="7"/>
  <c r="L44" i="7"/>
  <c r="K44" i="7"/>
  <c r="J44" i="7"/>
  <c r="I44" i="7"/>
  <c r="H44" i="7"/>
  <c r="U39" i="7"/>
  <c r="T39" i="7"/>
  <c r="M39" i="7"/>
  <c r="L39" i="7"/>
  <c r="K39" i="7"/>
  <c r="J39" i="7"/>
  <c r="I39" i="7"/>
  <c r="H39" i="7"/>
  <c r="I20" i="6"/>
  <c r="I21" i="6"/>
  <c r="I43" i="5"/>
  <c r="I42" i="5"/>
  <c r="I41" i="5"/>
  <c r="I40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U39" i="4"/>
  <c r="U44" i="4"/>
  <c r="T39" i="4"/>
  <c r="T44" i="4"/>
  <c r="M39" i="4"/>
  <c r="M44" i="4"/>
  <c r="M45" i="4" s="1"/>
  <c r="L39" i="4"/>
  <c r="L44" i="4"/>
  <c r="L45" i="4"/>
  <c r="K39" i="4"/>
  <c r="K44" i="4"/>
  <c r="J39" i="4"/>
  <c r="J44" i="4"/>
  <c r="I39" i="4"/>
  <c r="I44" i="4"/>
  <c r="H39" i="4"/>
  <c r="H44" i="4"/>
  <c r="K45" i="4" l="1"/>
  <c r="T45" i="4"/>
  <c r="G14" i="2"/>
  <c r="G29" i="2"/>
  <c r="G41" i="2"/>
  <c r="M45" i="7"/>
  <c r="I45" i="4"/>
  <c r="U45" i="7"/>
  <c r="G28" i="2"/>
  <c r="H45" i="4"/>
  <c r="G21" i="2"/>
  <c r="G16" i="2"/>
  <c r="G18" i="2"/>
  <c r="J45" i="7"/>
  <c r="K45" i="7"/>
  <c r="G9" i="2"/>
  <c r="J45" i="4"/>
  <c r="U45" i="4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G23" i="2"/>
  <c r="G30" i="2"/>
  <c r="H45" i="7"/>
  <c r="G26" i="2"/>
  <c r="G32" i="2"/>
  <c r="G13" i="2"/>
  <c r="G40" i="2"/>
  <c r="I45" i="7"/>
  <c r="G20" i="2"/>
  <c r="G17" i="2"/>
  <c r="G10" i="2"/>
  <c r="G31" i="2"/>
  <c r="T45" i="7"/>
  <c r="I23" i="6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G37" i="2"/>
  <c r="G20" i="5"/>
  <c r="G44" i="2"/>
  <c r="G17" i="5"/>
  <c r="G42" i="2"/>
  <c r="I45" i="2"/>
  <c r="G18" i="5"/>
  <c r="G35" i="2"/>
  <c r="G25" i="5"/>
  <c r="G16" i="5"/>
  <c r="G13" i="5"/>
  <c r="G14" i="5"/>
  <c r="I22" i="6" l="1"/>
  <c r="I39" i="5"/>
  <c r="F45" i="5"/>
  <c r="G34" i="5" s="1"/>
  <c r="G43" i="5" l="1"/>
  <c r="F44" i="5"/>
  <c r="G33" i="5"/>
  <c r="G30" i="5"/>
  <c r="G39" i="5"/>
  <c r="G42" i="5"/>
  <c r="G45" i="5"/>
  <c r="I45" i="5"/>
  <c r="G32" i="5"/>
  <c r="G31" i="5"/>
  <c r="G36" i="5"/>
  <c r="G38" i="5"/>
  <c r="G41" i="5"/>
  <c r="G37" i="5"/>
  <c r="G28" i="5"/>
  <c r="G35" i="5"/>
  <c r="G40" i="5"/>
  <c r="G29" i="5"/>
  <c r="G44" i="5" l="1"/>
  <c r="I44" i="5"/>
</calcChain>
</file>

<file path=xl/sharedStrings.xml><?xml version="1.0" encoding="utf-8"?>
<sst xmlns="http://schemas.openxmlformats.org/spreadsheetml/2006/main" count="478" uniqueCount="270">
  <si>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</si>
  <si>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</si>
  <si>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</si>
  <si>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</si>
  <si>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</si>
  <si>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</si>
  <si>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</si>
  <si>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</si>
  <si>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</si>
  <si>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</si>
  <si>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</si>
  <si>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</si>
  <si>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</si>
  <si>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</si>
  <si>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</si>
  <si>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</si>
  <si>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</si>
  <si>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</si>
  <si>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</si>
  <si>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</si>
  <si>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</si>
  <si>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</si>
  <si>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</si>
  <si>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</si>
  <si>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</si>
  <si>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</si>
  <si>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</si>
  <si>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</si>
  <si>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</si>
  <si>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</si>
  <si>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</si>
  <si>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</si>
  <si>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</si>
  <si>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</si>
  <si>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</si>
  <si>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</si>
  <si>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</si>
  <si>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</si>
  <si>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</si>
  <si>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</si>
  <si>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</si>
  <si>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</si>
  <si>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</si>
  <si>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</si>
  <si>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</si>
  <si>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</si>
  <si>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</si>
  <si>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</si>
  <si>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</si>
  <si>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</si>
  <si>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</si>
  <si>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</si>
  <si>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</si>
  <si>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</si>
  <si>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</si>
  <si>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</si>
  <si>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</si>
  <si>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</si>
  <si>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</si>
  <si>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</si>
  <si>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</si>
  <si>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</si>
  <si>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</si>
  <si>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</si>
  <si>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</si>
  <si>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</si>
  <si>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</si>
  <si>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</si>
  <si>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</si>
  <si>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</si>
  <si>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</si>
  <si>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</si>
  <si>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</si>
  <si>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</si>
  <si>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</si>
  <si>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</si>
  <si>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</si>
  <si>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</si>
  <si>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</si>
  <si>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</si>
  <si>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</si>
  <si>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</si>
  <si>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</si>
  <si>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</si>
  <si>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</si>
  <si>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</si>
  <si>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</si>
  <si>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</si>
  <si>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</si>
  <si>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</si>
  <si>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</si>
  <si>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</si>
  <si>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</si>
  <si>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</si>
  <si>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</si>
  <si>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</si>
  <si>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</si>
  <si>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</si>
  <si>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</si>
  <si>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</si>
  <si>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</si>
  <si>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</si>
  <si>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</si>
  <si>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</si>
  <si>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</si>
  <si>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</si>
  <si>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</si>
  <si>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</si>
  <si>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</si>
  <si>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</si>
  <si>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</si>
  <si>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</si>
  <si>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</si>
  <si>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</si>
  <si>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</si>
  <si>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</si>
  <si>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</si>
  <si>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</si>
  <si>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</si>
  <si>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</si>
  <si>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</si>
  <si>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</si>
  <si>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</si>
  <si>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</si>
  <si>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</si>
  <si>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</si>
  <si>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</si>
  <si>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</si>
  <si>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</si>
  <si>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</si>
  <si>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</si>
  <si>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</si>
  <si>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</si>
  <si>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</si>
  <si>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</si>
  <si>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</si>
  <si>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</si>
  <si>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</si>
  <si>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</si>
  <si>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</si>
  <si>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</si>
  <si>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</si>
  <si>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</si>
  <si>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</si>
  <si>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</si>
  <si>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</si>
  <si>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</si>
  <si>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</si>
  <si>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</si>
  <si>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</si>
  <si>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</si>
  <si>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</si>
  <si>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</si>
  <si>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</si>
  <si>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</si>
  <si>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</si>
  <si>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</si>
  <si>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</si>
  <si>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</si>
  <si>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</si>
  <si>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</si>
  <si>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</si>
  <si>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</si>
  <si>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</si>
  <si>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</si>
  <si>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</si>
  <si>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</si>
  <si>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</si>
  <si>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</si>
  <si>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</si>
  <si>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</si>
  <si>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</si>
  <si>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</si>
  <si>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</si>
  <si>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</si>
  <si>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</si>
  <si>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</si>
  <si>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</si>
  <si>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</si>
  <si>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</si>
  <si>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</si>
  <si>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</si>
  <si>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</si>
  <si>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</si>
  <si>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</si>
  <si>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</si>
  <si>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</si>
  <si>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</si>
  <si>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</si>
  <si>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</si>
  <si>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</si>
  <si>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</si>
  <si>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</si>
  <si>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</si>
  <si>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</si>
  <si>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</si>
  <si>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</si>
  <si>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</si>
  <si>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</si>
  <si>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</si>
  <si>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</si>
  <si>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</si>
  <si>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</si>
  <si>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</si>
  <si>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</si>
  <si>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</si>
  <si>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</si>
  <si>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</si>
  <si>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</si>
  <si>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</si>
  <si>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</si>
  <si>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</si>
  <si>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</si>
  <si>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</si>
  <si>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</si>
  <si>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</si>
  <si>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</si>
  <si>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</si>
  <si>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</si>
  <si>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</si>
  <si>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</si>
  <si>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</si>
  <si>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</si>
  <si>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</si>
  <si>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</si>
  <si>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</si>
  <si>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</si>
  <si>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</si>
  <si>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</si>
  <si>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</si>
  <si>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</si>
  <si>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</si>
  <si>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</si>
  <si>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</si>
  <si>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</si>
  <si>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</si>
  <si>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</si>
  <si>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</si>
  <si>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</si>
  <si>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</si>
  <si>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</si>
  <si>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</si>
  <si>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</si>
  <si>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</si>
  <si>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</si>
  <si>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</si>
  <si>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</si>
  <si>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</si>
  <si>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</si>
  <si>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</si>
  <si>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兵庫県</t>
    <rPh sb="0" eb="3">
      <t>ヒョウゴケン</t>
    </rPh>
    <phoneticPr fontId="9"/>
  </si>
  <si>
    <t>兵庫県</t>
    <rPh sb="0" eb="3">
      <t>ヒョウゴケン</t>
    </rPh>
    <phoneticPr fontId="16"/>
  </si>
  <si>
    <t>流域下水道事業会計</t>
    <phoneticPr fontId="9"/>
  </si>
  <si>
    <t>港湾事業</t>
    <rPh sb="0" eb="4">
      <t>コウワンジギョウ</t>
    </rPh>
    <phoneticPr fontId="9"/>
  </si>
  <si>
    <t>流域下水道事業会計</t>
    <phoneticPr fontId="14"/>
  </si>
  <si>
    <t>港湾事業</t>
    <rPh sb="0" eb="2">
      <t>コウワン</t>
    </rPh>
    <rPh sb="2" eb="4">
      <t>ジギョウ</t>
    </rPh>
    <phoneticPr fontId="14"/>
  </si>
  <si>
    <t>兵庫県住宅供給公社</t>
    <rPh sb="0" eb="3">
      <t>ヒョウゴケン</t>
    </rPh>
    <rPh sb="3" eb="5">
      <t>ジュウタク</t>
    </rPh>
    <rPh sb="5" eb="7">
      <t>キョウキュウ</t>
    </rPh>
    <rPh sb="7" eb="9">
      <t>コウシャ</t>
    </rPh>
    <phoneticPr fontId="14"/>
  </si>
  <si>
    <t>水道用水供給事業</t>
    <rPh sb="0" eb="2">
      <t>スイドウ</t>
    </rPh>
    <rPh sb="2" eb="4">
      <t>ヨウスイ</t>
    </rPh>
    <rPh sb="4" eb="6">
      <t>キョウキュウ</t>
    </rPh>
    <rPh sb="6" eb="8">
      <t>ジギョウ</t>
    </rPh>
    <phoneticPr fontId="17"/>
  </si>
  <si>
    <t>工業用水道事業</t>
    <rPh sb="0" eb="2">
      <t>コウギョウ</t>
    </rPh>
    <rPh sb="2" eb="4">
      <t>ヨウスイ</t>
    </rPh>
    <rPh sb="4" eb="5">
      <t>ドウ</t>
    </rPh>
    <rPh sb="5" eb="7">
      <t>ジギョウ</t>
    </rPh>
    <phoneticPr fontId="17"/>
  </si>
  <si>
    <t>水源開発事業</t>
    <rPh sb="0" eb="2">
      <t>スイゲン</t>
    </rPh>
    <rPh sb="2" eb="4">
      <t>カイハツ</t>
    </rPh>
    <rPh sb="4" eb="6">
      <t>ジギョウ</t>
    </rPh>
    <phoneticPr fontId="17"/>
  </si>
  <si>
    <t>地域整備事業</t>
    <rPh sb="0" eb="2">
      <t>チイキ</t>
    </rPh>
    <rPh sb="2" eb="4">
      <t>セイビ</t>
    </rPh>
    <rPh sb="4" eb="6">
      <t>ジギョウ</t>
    </rPh>
    <phoneticPr fontId="17"/>
  </si>
  <si>
    <t>企業資産運用事業</t>
    <rPh sb="0" eb="2">
      <t>キギョウ</t>
    </rPh>
    <rPh sb="2" eb="4">
      <t>シサン</t>
    </rPh>
    <rPh sb="4" eb="6">
      <t>ウンヨウ</t>
    </rPh>
    <rPh sb="6" eb="8">
      <t>ジギョウ</t>
    </rPh>
    <phoneticPr fontId="17"/>
  </si>
  <si>
    <t>地域創生整備事業</t>
    <rPh sb="0" eb="2">
      <t>チイキ</t>
    </rPh>
    <rPh sb="2" eb="4">
      <t>ソウセイ</t>
    </rPh>
    <rPh sb="4" eb="6">
      <t>セイビ</t>
    </rPh>
    <rPh sb="6" eb="8">
      <t>ジギョウ</t>
    </rPh>
    <phoneticPr fontId="23"/>
  </si>
  <si>
    <t xml:space="preserve"> － </t>
  </si>
  <si>
    <t xml:space="preserve"> ▲ 1,452 </t>
  </si>
  <si>
    <t>株式会社夢舞台</t>
    <rPh sb="0" eb="4">
      <t>カブシキガイシャ</t>
    </rPh>
    <rPh sb="4" eb="5">
      <t>ユメ</t>
    </rPh>
    <rPh sb="5" eb="7">
      <t>ブタイ</t>
    </rPh>
    <phoneticPr fontId="16"/>
  </si>
  <si>
    <t>病院事業</t>
    <rPh sb="0" eb="4">
      <t>ビョウインジギョウ</t>
    </rPh>
    <phoneticPr fontId="16"/>
  </si>
  <si>
    <t>病院事業</t>
    <rPh sb="0" eb="4">
      <t>ビョウインジギョウ</t>
    </rPh>
    <phoneticPr fontId="9"/>
  </si>
  <si>
    <t>兵庫県道路公社</t>
    <rPh sb="0" eb="3">
      <t>ヒョウゴケン</t>
    </rPh>
    <rPh sb="3" eb="7">
      <t>ドウロコウシャ</t>
    </rPh>
    <phoneticPr fontId="16"/>
  </si>
  <si>
    <t>兵庫県土地開発公社</t>
    <rPh sb="0" eb="3">
      <t>ヒョウゴケン</t>
    </rPh>
    <rPh sb="3" eb="9">
      <t>トチカイハツコウシャ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</si>
</sst>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  <numFmt numFmtId="183" formatCode="0;0;"/>
  </numFmts>
  <fonts count="25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  <font>
      <b/>
      <sz val="13"/>
      <color theme="3"/>
      <name val="ＭＳ 明朝"/>
      <family val="2"/>
      <charset val="128"/>
    </font>
    <font>
      <sz val="1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0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21" fillId="0" borderId="5" xfId="0" applyFont="1" applyBorder="1" applyAlignment="1">
      <alignment horizontal="distributed" vertical="center" justifyLastLine="1"/>
    </xf>
    <xf numFmtId="0" fontId="22" fillId="0" borderId="5" xfId="0" applyFont="1" applyBorder="1" applyAlignment="1">
      <alignment horizontal="distributed" vertical="center" justifyLastLine="1"/>
    </xf>
    <xf numFmtId="41" fontId="21" fillId="0" borderId="5" xfId="0" applyNumberFormat="1" applyFont="1" applyBorder="1" applyAlignment="1">
      <alignment horizontal="distributed" vertical="center" justifyLastLine="1"/>
    </xf>
    <xf numFmtId="177" fontId="0" fillId="0" borderId="10" xfId="1" applyNumberFormat="1" applyFont="1" applyBorder="1" applyAlignment="1">
      <alignment vertical="center"/>
    </xf>
    <xf numFmtId="183" fontId="2" fillId="0" borderId="10" xfId="1" applyNumberFormat="1" applyBorder="1" applyAlignment="1">
      <alignment vertical="center"/>
    </xf>
    <xf numFmtId="177" fontId="20" fillId="0" borderId="10" xfId="1" applyNumberFormat="1" applyFont="1" applyBorder="1" applyAlignment="1">
      <alignment horizontal="center" vertical="center"/>
    </xf>
    <xf numFmtId="177" fontId="20" fillId="0" borderId="10" xfId="1" applyNumberFormat="1" applyFont="1" applyBorder="1" applyAlignment="1">
      <alignment vertical="center"/>
    </xf>
    <xf numFmtId="177" fontId="20" fillId="0" borderId="10" xfId="1" applyNumberFormat="1" applyFont="1" applyFill="1" applyBorder="1" applyAlignment="1">
      <alignment vertical="center"/>
    </xf>
    <xf numFmtId="177" fontId="24" fillId="0" borderId="10" xfId="1" applyNumberFormat="1" applyFont="1" applyBorder="1" applyAlignment="1">
      <alignment vertical="center"/>
    </xf>
    <xf numFmtId="177" fontId="24" fillId="0" borderId="10" xfId="1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7" fontId="2" fillId="0" borderId="11" xfId="1" applyNumberFormat="1" applyBorder="1" applyAlignment="1">
      <alignment vertical="center"/>
    </xf>
    <xf numFmtId="177" fontId="2" fillId="0" borderId="13" xfId="1" applyNumberFormat="1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view="pageBreakPreview" zoomScaleNormal="100" zoomScaleSheetLayoutView="100" workbookViewId="0">
      <pane xSplit="5" ySplit="8" topLeftCell="F9" activePane="bottomRight" state="frozen"/>
      <selection activeCell="Q22" sqref="Q22"/>
      <selection pane="topRight" activeCell="Q22" sqref="Q22"/>
      <selection pane="bottomLeft" activeCell="Q22" sqref="Q22"/>
      <selection pane="bottomRight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0" width="9" style="2"/>
    <col min="11" max="11" width="9.90625" style="2" customWidth="1"/>
    <col min="12" max="16384" width="9" style="2"/>
  </cols>
  <sheetData>
    <row r="1" spans="1:10" ht="34" customHeight="1">
      <c r="A1" s="16" t="s">
        <v>0</v>
      </c>
      <c r="B1" s="16"/>
      <c r="C1" s="16"/>
      <c r="D1" s="16"/>
      <c r="E1" s="84" t="s">
        <v>250</v>
      </c>
      <c r="F1" s="1"/>
    </row>
    <row r="3" spans="1:10" ht="14">
      <c r="A3" s="10" t="s">
        <v>92</v>
      </c>
    </row>
    <row r="5" spans="1:10">
      <c r="A5" s="17" t="s">
        <v>240</v>
      </c>
      <c r="B5" s="17"/>
      <c r="C5" s="17"/>
      <c r="D5" s="17"/>
      <c r="E5" s="17"/>
    </row>
    <row r="6" spans="1:10" ht="14">
      <c r="A6" s="3"/>
      <c r="H6" s="4"/>
      <c r="I6" s="9" t="s">
        <v>1</v>
      </c>
    </row>
    <row r="7" spans="1:10" ht="27" customHeight="1">
      <c r="A7" s="5"/>
      <c r="B7" s="6"/>
      <c r="C7" s="6"/>
      <c r="D7" s="6"/>
      <c r="E7" s="56"/>
      <c r="F7" s="45" t="s">
        <v>241</v>
      </c>
      <c r="G7" s="45"/>
      <c r="H7" s="45" t="s">
        <v>238</v>
      </c>
      <c r="I7" s="46" t="s">
        <v>21</v>
      </c>
    </row>
    <row r="8" spans="1:10" ht="17.149999999999999" customHeight="1">
      <c r="A8" s="18"/>
      <c r="B8" s="19"/>
      <c r="C8" s="19"/>
      <c r="D8" s="19"/>
      <c r="E8" s="57"/>
      <c r="F8" s="48" t="s">
        <v>90</v>
      </c>
      <c r="G8" s="48" t="s">
        <v>2</v>
      </c>
      <c r="H8" s="48" t="s">
        <v>233</v>
      </c>
      <c r="I8" s="49"/>
    </row>
    <row r="9" spans="1:10" ht="18" customHeight="1">
      <c r="A9" s="94" t="s">
        <v>87</v>
      </c>
      <c r="B9" s="94" t="s">
        <v>89</v>
      </c>
      <c r="C9" s="58" t="s">
        <v>3</v>
      </c>
      <c r="D9" s="50"/>
      <c r="E9" s="50"/>
      <c r="F9" s="51">
        <v>887000</v>
      </c>
      <c r="G9" s="52">
        <f>F9/$F$27*100</f>
        <v>36.910979622392773</v>
      </c>
      <c r="H9" s="51">
        <v>815900</v>
      </c>
      <c r="I9" s="52">
        <f>(F9/H9-1)*100</f>
        <v>8.7143032234342499</v>
      </c>
      <c r="J9" s="23"/>
    </row>
    <row r="10" spans="1:10" ht="18" customHeight="1">
      <c r="A10" s="94"/>
      <c r="B10" s="94"/>
      <c r="C10" s="60"/>
      <c r="D10" s="62" t="s">
        <v>22</v>
      </c>
      <c r="E10" s="50"/>
      <c r="F10" s="51">
        <v>271261</v>
      </c>
      <c r="G10" s="52">
        <f t="shared" ref="G10:G26" si="0">F10/$F$27*100</f>
        <v>11.288060026324562</v>
      </c>
      <c r="H10" s="51">
        <v>232469</v>
      </c>
      <c r="I10" s="52">
        <f t="shared" ref="I10:I27" si="1">(F10/H10-1)*100</f>
        <v>16.686956110277062</v>
      </c>
    </row>
    <row r="11" spans="1:10" ht="18" customHeight="1">
      <c r="A11" s="94"/>
      <c r="B11" s="94"/>
      <c r="C11" s="60"/>
      <c r="D11" s="60"/>
      <c r="E11" s="44" t="s">
        <v>23</v>
      </c>
      <c r="F11" s="51">
        <v>200057</v>
      </c>
      <c r="G11" s="52">
        <f t="shared" si="0"/>
        <v>8.3250280161409584</v>
      </c>
      <c r="H11" s="51">
        <v>180896</v>
      </c>
      <c r="I11" s="52">
        <f t="shared" si="1"/>
        <v>10.592274013797986</v>
      </c>
    </row>
    <row r="12" spans="1:10" ht="18" customHeight="1">
      <c r="A12" s="94"/>
      <c r="B12" s="94"/>
      <c r="C12" s="60"/>
      <c r="D12" s="60"/>
      <c r="E12" s="44" t="s">
        <v>24</v>
      </c>
      <c r="F12" s="51">
        <v>16522</v>
      </c>
      <c r="G12" s="52">
        <f t="shared" si="0"/>
        <v>0.68753461704754615</v>
      </c>
      <c r="H12" s="51">
        <v>15033</v>
      </c>
      <c r="I12" s="52">
        <f t="shared" si="1"/>
        <v>9.9048759395995454</v>
      </c>
    </row>
    <row r="13" spans="1:10" ht="18" customHeight="1">
      <c r="A13" s="94"/>
      <c r="B13" s="94"/>
      <c r="C13" s="60"/>
      <c r="D13" s="61"/>
      <c r="E13" s="44" t="s">
        <v>25</v>
      </c>
      <c r="F13" s="51">
        <v>3480</v>
      </c>
      <c r="G13" s="52">
        <f t="shared" si="0"/>
        <v>0.1448142154294553</v>
      </c>
      <c r="H13" s="51">
        <v>878</v>
      </c>
      <c r="I13" s="52">
        <f t="shared" si="1"/>
        <v>296.35535307517085</v>
      </c>
    </row>
    <row r="14" spans="1:10" ht="18" customHeight="1">
      <c r="A14" s="94"/>
      <c r="B14" s="94"/>
      <c r="C14" s="60"/>
      <c r="D14" s="58" t="s">
        <v>26</v>
      </c>
      <c r="E14" s="50"/>
      <c r="F14" s="51">
        <v>197612</v>
      </c>
      <c r="G14" s="52">
        <f t="shared" si="0"/>
        <v>8.2232835458176776</v>
      </c>
      <c r="H14" s="51">
        <v>187692</v>
      </c>
      <c r="I14" s="52">
        <f t="shared" si="1"/>
        <v>5.2852545659910932</v>
      </c>
    </row>
    <row r="15" spans="1:10" ht="18" customHeight="1">
      <c r="A15" s="94"/>
      <c r="B15" s="94"/>
      <c r="C15" s="60"/>
      <c r="D15" s="60"/>
      <c r="E15" s="44" t="s">
        <v>27</v>
      </c>
      <c r="F15" s="51">
        <v>8595</v>
      </c>
      <c r="G15" s="52">
        <f t="shared" si="0"/>
        <v>0.35766614414257708</v>
      </c>
      <c r="H15" s="51">
        <v>8516</v>
      </c>
      <c r="I15" s="52">
        <f t="shared" si="1"/>
        <v>0.92766557069046129</v>
      </c>
    </row>
    <row r="16" spans="1:10" ht="18" customHeight="1">
      <c r="A16" s="94"/>
      <c r="B16" s="94"/>
      <c r="C16" s="60"/>
      <c r="D16" s="61"/>
      <c r="E16" s="44" t="s">
        <v>28</v>
      </c>
      <c r="F16" s="51">
        <v>189017</v>
      </c>
      <c r="G16" s="52">
        <f t="shared" si="0"/>
        <v>7.8656174016751015</v>
      </c>
      <c r="H16" s="51">
        <v>179176</v>
      </c>
      <c r="I16" s="52">
        <f t="shared" si="1"/>
        <v>5.4923650488904796</v>
      </c>
      <c r="J16" s="24"/>
    </row>
    <row r="17" spans="1:25" ht="18" customHeight="1">
      <c r="A17" s="94"/>
      <c r="B17" s="94"/>
      <c r="C17" s="60"/>
      <c r="D17" s="95" t="s">
        <v>29</v>
      </c>
      <c r="E17" s="96"/>
      <c r="F17" s="51">
        <v>282720</v>
      </c>
      <c r="G17" s="52">
        <f t="shared" si="0"/>
        <v>11.764906605234367</v>
      </c>
      <c r="H17" s="51">
        <v>261464</v>
      </c>
      <c r="I17" s="52">
        <f t="shared" si="1"/>
        <v>8.1296086650552333</v>
      </c>
    </row>
    <row r="18" spans="1:25" ht="18" customHeight="1">
      <c r="A18" s="94"/>
      <c r="B18" s="94"/>
      <c r="C18" s="60"/>
      <c r="D18" s="95" t="s">
        <v>93</v>
      </c>
      <c r="E18" s="97"/>
      <c r="F18" s="51">
        <v>18805</v>
      </c>
      <c r="G18" s="52">
        <f t="shared" si="0"/>
        <v>0.78253773596290432</v>
      </c>
      <c r="H18" s="51">
        <v>18468</v>
      </c>
      <c r="I18" s="52">
        <f t="shared" si="1"/>
        <v>1.8247779943686426</v>
      </c>
    </row>
    <row r="19" spans="1:25" ht="18" customHeight="1">
      <c r="A19" s="94"/>
      <c r="B19" s="94"/>
      <c r="C19" s="59"/>
      <c r="D19" s="95" t="s">
        <v>94</v>
      </c>
      <c r="E19" s="97"/>
      <c r="F19" s="53">
        <v>0</v>
      </c>
      <c r="G19" s="52">
        <f t="shared" si="0"/>
        <v>0</v>
      </c>
      <c r="H19" s="51">
        <v>0</v>
      </c>
      <c r="I19" s="52" t="e">
        <f t="shared" si="1"/>
        <v>#DIV/0!</v>
      </c>
      <c r="Y19" s="2" t="s">
        <v>95</v>
      </c>
    </row>
    <row r="20" spans="1:25" ht="18" customHeight="1">
      <c r="A20" s="94"/>
      <c r="B20" s="94"/>
      <c r="C20" s="50" t="s">
        <v>4</v>
      </c>
      <c r="D20" s="50"/>
      <c r="E20" s="50"/>
      <c r="F20" s="51">
        <v>115840</v>
      </c>
      <c r="G20" s="52">
        <f t="shared" si="0"/>
        <v>4.8204823894678448</v>
      </c>
      <c r="H20" s="51">
        <v>104971</v>
      </c>
      <c r="I20" s="52">
        <f t="shared" si="1"/>
        <v>10.354288327252291</v>
      </c>
    </row>
    <row r="21" spans="1:25" ht="18" customHeight="1">
      <c r="A21" s="94"/>
      <c r="B21" s="94"/>
      <c r="C21" s="50" t="s">
        <v>5</v>
      </c>
      <c r="D21" s="50"/>
      <c r="E21" s="50"/>
      <c r="F21" s="51">
        <v>354800</v>
      </c>
      <c r="G21" s="52">
        <f t="shared" si="0"/>
        <v>14.764391848957109</v>
      </c>
      <c r="H21" s="51">
        <v>348800</v>
      </c>
      <c r="I21" s="52">
        <f t="shared" si="1"/>
        <v>1.7201834862385246</v>
      </c>
    </row>
    <row r="22" spans="1:25" ht="18" customHeight="1">
      <c r="A22" s="94"/>
      <c r="B22" s="94"/>
      <c r="C22" s="50" t="s">
        <v>30</v>
      </c>
      <c r="D22" s="50"/>
      <c r="E22" s="50"/>
      <c r="F22" s="51">
        <v>31873</v>
      </c>
      <c r="G22" s="52">
        <f t="shared" si="0"/>
        <v>1.3263400828686864</v>
      </c>
      <c r="H22" s="51">
        <v>32083</v>
      </c>
      <c r="I22" s="52">
        <f t="shared" si="1"/>
        <v>-0.65455225508836978</v>
      </c>
    </row>
    <row r="23" spans="1:25" ht="18" customHeight="1">
      <c r="A23" s="94"/>
      <c r="B23" s="94"/>
      <c r="C23" s="50" t="s">
        <v>6</v>
      </c>
      <c r="D23" s="50"/>
      <c r="E23" s="50"/>
      <c r="F23" s="51">
        <v>187898</v>
      </c>
      <c r="G23" s="52">
        <f t="shared" si="0"/>
        <v>7.8190521410240788</v>
      </c>
      <c r="H23" s="51">
        <v>174360</v>
      </c>
      <c r="I23" s="52">
        <f t="shared" si="1"/>
        <v>7.7643955035558543</v>
      </c>
    </row>
    <row r="24" spans="1:25" ht="18" customHeight="1">
      <c r="A24" s="94"/>
      <c r="B24" s="94"/>
      <c r="C24" s="50" t="s">
        <v>31</v>
      </c>
      <c r="D24" s="50"/>
      <c r="E24" s="50"/>
      <c r="F24" s="51">
        <v>7822</v>
      </c>
      <c r="G24" s="52">
        <f t="shared" si="0"/>
        <v>0.32549907847390785</v>
      </c>
      <c r="H24" s="51">
        <v>4987</v>
      </c>
      <c r="I24" s="52">
        <f t="shared" si="1"/>
        <v>56.847804291157011</v>
      </c>
    </row>
    <row r="25" spans="1:25" ht="18" customHeight="1">
      <c r="A25" s="94"/>
      <c r="B25" s="94"/>
      <c r="C25" s="50" t="s">
        <v>7</v>
      </c>
      <c r="D25" s="50"/>
      <c r="E25" s="50"/>
      <c r="F25" s="51">
        <v>141437</v>
      </c>
      <c r="G25" s="52">
        <f t="shared" si="0"/>
        <v>5.8856575251999628</v>
      </c>
      <c r="H25" s="51">
        <v>135619</v>
      </c>
      <c r="I25" s="52">
        <f t="shared" si="1"/>
        <v>4.2899593714744944</v>
      </c>
    </row>
    <row r="26" spans="1:25" ht="18" customHeight="1">
      <c r="A26" s="94"/>
      <c r="B26" s="94"/>
      <c r="C26" s="50" t="s">
        <v>8</v>
      </c>
      <c r="D26" s="50"/>
      <c r="E26" s="50"/>
      <c r="F26" s="51">
        <v>676409</v>
      </c>
      <c r="G26" s="52">
        <f t="shared" si="0"/>
        <v>28.147597311615641</v>
      </c>
      <c r="H26" s="51">
        <v>760067</v>
      </c>
      <c r="I26" s="52">
        <f t="shared" si="1"/>
        <v>-11.00666125486306</v>
      </c>
    </row>
    <row r="27" spans="1:25" ht="18" customHeight="1">
      <c r="A27" s="94"/>
      <c r="B27" s="94"/>
      <c r="C27" s="50" t="s">
        <v>9</v>
      </c>
      <c r="D27" s="50"/>
      <c r="E27" s="50"/>
      <c r="F27" s="51">
        <f>SUM(F9,F20:F26)</f>
        <v>2403079</v>
      </c>
      <c r="G27" s="52">
        <f>F27/$F$27*100</f>
        <v>100</v>
      </c>
      <c r="H27" s="51">
        <v>2376787</v>
      </c>
      <c r="I27" s="52">
        <f t="shared" si="1"/>
        <v>1.1061992513422547</v>
      </c>
    </row>
    <row r="28" spans="1:25" ht="18" customHeight="1">
      <c r="A28" s="94"/>
      <c r="B28" s="94" t="s">
        <v>88</v>
      </c>
      <c r="C28" s="58" t="s">
        <v>10</v>
      </c>
      <c r="D28" s="50"/>
      <c r="E28" s="50"/>
      <c r="F28" s="51">
        <f>SUM(F29:F31)</f>
        <v>795944</v>
      </c>
      <c r="G28" s="52">
        <f>F28/$F$45*100</f>
        <v>33.12184077177654</v>
      </c>
      <c r="H28" s="51">
        <v>784053</v>
      </c>
      <c r="I28" s="52">
        <f>(F28/H28-1)*100</f>
        <v>1.5166066579682669</v>
      </c>
    </row>
    <row r="29" spans="1:25" ht="18" customHeight="1">
      <c r="A29" s="94"/>
      <c r="B29" s="94"/>
      <c r="C29" s="60"/>
      <c r="D29" s="50" t="s">
        <v>11</v>
      </c>
      <c r="E29" s="50"/>
      <c r="F29" s="51">
        <v>458669</v>
      </c>
      <c r="G29" s="52">
        <f t="shared" ref="G29:G44" si="2">F29/$F$45*100</f>
        <v>19.086721660003686</v>
      </c>
      <c r="H29" s="51">
        <v>457699</v>
      </c>
      <c r="I29" s="52">
        <f t="shared" ref="I29:I45" si="3">(F29/H29-1)*100</f>
        <v>0.21192967430561094</v>
      </c>
    </row>
    <row r="30" spans="1:25" ht="18" customHeight="1">
      <c r="A30" s="94"/>
      <c r="B30" s="94"/>
      <c r="C30" s="60"/>
      <c r="D30" s="50" t="s">
        <v>32</v>
      </c>
      <c r="E30" s="50"/>
      <c r="F30" s="51">
        <v>36318</v>
      </c>
      <c r="G30" s="52">
        <f t="shared" si="2"/>
        <v>1.5113111137836084</v>
      </c>
      <c r="H30" s="51">
        <v>34089</v>
      </c>
      <c r="I30" s="52">
        <f t="shared" si="3"/>
        <v>6.5387661709055633</v>
      </c>
    </row>
    <row r="31" spans="1:25" ht="18" customHeight="1">
      <c r="A31" s="94"/>
      <c r="B31" s="94"/>
      <c r="C31" s="59"/>
      <c r="D31" s="50" t="s">
        <v>12</v>
      </c>
      <c r="E31" s="50"/>
      <c r="F31" s="51">
        <v>300957</v>
      </c>
      <c r="G31" s="52">
        <f t="shared" si="2"/>
        <v>12.523807997989248</v>
      </c>
      <c r="H31" s="51">
        <v>292265</v>
      </c>
      <c r="I31" s="52">
        <f t="shared" si="3"/>
        <v>2.9740133098386634</v>
      </c>
    </row>
    <row r="32" spans="1:25" ht="18" customHeight="1">
      <c r="A32" s="94"/>
      <c r="B32" s="94"/>
      <c r="C32" s="58" t="s">
        <v>13</v>
      </c>
      <c r="D32" s="50"/>
      <c r="E32" s="50"/>
      <c r="F32" s="51">
        <f>2403079-F28-F39</f>
        <v>1392684</v>
      </c>
      <c r="G32" s="52">
        <f t="shared" si="2"/>
        <v>57.954149655504459</v>
      </c>
      <c r="H32" s="51">
        <v>1390150</v>
      </c>
      <c r="I32" s="52">
        <f t="shared" si="3"/>
        <v>0.18228248750133957</v>
      </c>
    </row>
    <row r="33" spans="1:9" ht="18" customHeight="1">
      <c r="A33" s="94"/>
      <c r="B33" s="94"/>
      <c r="C33" s="60"/>
      <c r="D33" s="50" t="s">
        <v>14</v>
      </c>
      <c r="E33" s="50"/>
      <c r="F33" s="51">
        <v>36616</v>
      </c>
      <c r="G33" s="52">
        <f t="shared" si="2"/>
        <v>1.523711871311763</v>
      </c>
      <c r="H33" s="51">
        <v>37287</v>
      </c>
      <c r="I33" s="52">
        <f t="shared" si="3"/>
        <v>-1.7995548046235932</v>
      </c>
    </row>
    <row r="34" spans="1:9" ht="18" customHeight="1">
      <c r="A34" s="94"/>
      <c r="B34" s="94"/>
      <c r="C34" s="60"/>
      <c r="D34" s="50" t="s">
        <v>33</v>
      </c>
      <c r="E34" s="50"/>
      <c r="F34" s="51">
        <v>11061</v>
      </c>
      <c r="G34" s="52">
        <f t="shared" si="2"/>
        <v>0.46028449335207045</v>
      </c>
      <c r="H34" s="51">
        <v>11061</v>
      </c>
      <c r="I34" s="52">
        <f t="shared" si="3"/>
        <v>0</v>
      </c>
    </row>
    <row r="35" spans="1:9" ht="18" customHeight="1">
      <c r="A35" s="94"/>
      <c r="B35" s="94"/>
      <c r="C35" s="60"/>
      <c r="D35" s="50" t="s">
        <v>34</v>
      </c>
      <c r="E35" s="50"/>
      <c r="F35" s="51">
        <v>760904</v>
      </c>
      <c r="G35" s="52">
        <f t="shared" si="2"/>
        <v>31.663711430210995</v>
      </c>
      <c r="H35" s="51">
        <v>666687</v>
      </c>
      <c r="I35" s="52">
        <f t="shared" si="3"/>
        <v>14.13211897037141</v>
      </c>
    </row>
    <row r="36" spans="1:9" ht="18" customHeight="1">
      <c r="A36" s="94"/>
      <c r="B36" s="94"/>
      <c r="C36" s="60"/>
      <c r="D36" s="50" t="s">
        <v>35</v>
      </c>
      <c r="E36" s="50"/>
      <c r="F36" s="51">
        <v>34989</v>
      </c>
      <c r="G36" s="52">
        <f t="shared" si="2"/>
        <v>1.456007064270463</v>
      </c>
      <c r="H36" s="51">
        <v>30158</v>
      </c>
      <c r="I36" s="52">
        <f t="shared" si="3"/>
        <v>16.018966774985088</v>
      </c>
    </row>
    <row r="37" spans="1:9" ht="18" customHeight="1">
      <c r="A37" s="94"/>
      <c r="B37" s="94"/>
      <c r="C37" s="60"/>
      <c r="D37" s="50" t="s">
        <v>15</v>
      </c>
      <c r="E37" s="50"/>
      <c r="F37" s="51">
        <v>21801</v>
      </c>
      <c r="G37" s="52">
        <f t="shared" si="2"/>
        <v>0.90721112372918244</v>
      </c>
      <c r="H37" s="51">
        <v>10862</v>
      </c>
      <c r="I37" s="52">
        <f t="shared" si="3"/>
        <v>100.70889338979931</v>
      </c>
    </row>
    <row r="38" spans="1:9" ht="18" customHeight="1">
      <c r="A38" s="94"/>
      <c r="B38" s="94"/>
      <c r="C38" s="59"/>
      <c r="D38" s="50" t="s">
        <v>36</v>
      </c>
      <c r="E38" s="50"/>
      <c r="F38" s="51">
        <v>526813</v>
      </c>
      <c r="G38" s="52">
        <f t="shared" si="2"/>
        <v>21.922417032482077</v>
      </c>
      <c r="H38" s="51">
        <v>633595</v>
      </c>
      <c r="I38" s="52">
        <f t="shared" si="3"/>
        <v>-16.853352693755475</v>
      </c>
    </row>
    <row r="39" spans="1:9" ht="18" customHeight="1">
      <c r="A39" s="94"/>
      <c r="B39" s="94"/>
      <c r="C39" s="58" t="s">
        <v>16</v>
      </c>
      <c r="D39" s="50"/>
      <c r="E39" s="50"/>
      <c r="F39" s="51">
        <f>+F40+F43</f>
        <v>214451</v>
      </c>
      <c r="G39" s="52">
        <f t="shared" si="2"/>
        <v>8.9240095727189992</v>
      </c>
      <c r="H39" s="51">
        <v>202584</v>
      </c>
      <c r="I39" s="52">
        <f t="shared" si="3"/>
        <v>5.8578170043043887</v>
      </c>
    </row>
    <row r="40" spans="1:9" ht="18" customHeight="1">
      <c r="A40" s="94"/>
      <c r="B40" s="94"/>
      <c r="C40" s="60"/>
      <c r="D40" s="58" t="s">
        <v>17</v>
      </c>
      <c r="E40" s="50"/>
      <c r="F40" s="51">
        <v>203788</v>
      </c>
      <c r="G40" s="52">
        <f t="shared" si="2"/>
        <v>8.4802871649246665</v>
      </c>
      <c r="H40" s="51">
        <v>191621</v>
      </c>
      <c r="I40" s="52">
        <f t="shared" si="3"/>
        <v>6.3495128404506884</v>
      </c>
    </row>
    <row r="41" spans="1:9" ht="18" customHeight="1">
      <c r="A41" s="94"/>
      <c r="B41" s="94"/>
      <c r="C41" s="60"/>
      <c r="D41" s="60"/>
      <c r="E41" s="54" t="s">
        <v>91</v>
      </c>
      <c r="F41" s="51">
        <v>120070</v>
      </c>
      <c r="G41" s="52">
        <f t="shared" si="2"/>
        <v>4.9965065651191658</v>
      </c>
      <c r="H41" s="51">
        <v>113145</v>
      </c>
      <c r="I41" s="55">
        <f t="shared" si="3"/>
        <v>6.1204648901851622</v>
      </c>
    </row>
    <row r="42" spans="1:9" ht="18" customHeight="1">
      <c r="A42" s="94"/>
      <c r="B42" s="94"/>
      <c r="C42" s="60"/>
      <c r="D42" s="59"/>
      <c r="E42" s="44" t="s">
        <v>37</v>
      </c>
      <c r="F42" s="51">
        <v>83718</v>
      </c>
      <c r="G42" s="52">
        <f t="shared" si="2"/>
        <v>3.4837805998054994</v>
      </c>
      <c r="H42" s="51">
        <v>78476</v>
      </c>
      <c r="I42" s="55">
        <f t="shared" si="3"/>
        <v>6.6797492226922772</v>
      </c>
    </row>
    <row r="43" spans="1:9" ht="18" customHeight="1">
      <c r="A43" s="94"/>
      <c r="B43" s="94"/>
      <c r="C43" s="60"/>
      <c r="D43" s="50" t="s">
        <v>38</v>
      </c>
      <c r="E43" s="50"/>
      <c r="F43" s="51">
        <v>10663</v>
      </c>
      <c r="G43" s="52">
        <f t="shared" si="2"/>
        <v>0.44372240779433386</v>
      </c>
      <c r="H43" s="51">
        <v>10963</v>
      </c>
      <c r="I43" s="55">
        <f t="shared" si="3"/>
        <v>-2.7364772416309413</v>
      </c>
    </row>
    <row r="44" spans="1:9" ht="18" customHeight="1">
      <c r="A44" s="94"/>
      <c r="B44" s="94"/>
      <c r="C44" s="59"/>
      <c r="D44" s="50" t="s">
        <v>39</v>
      </c>
      <c r="E44" s="50"/>
      <c r="F44" s="51">
        <v>0</v>
      </c>
      <c r="G44" s="52">
        <f t="shared" si="2"/>
        <v>0</v>
      </c>
      <c r="H44" s="51">
        <v>0</v>
      </c>
      <c r="I44" s="52" t="e">
        <f t="shared" si="3"/>
        <v>#DIV/0!</v>
      </c>
    </row>
    <row r="45" spans="1:9" ht="18" customHeight="1">
      <c r="A45" s="94"/>
      <c r="B45" s="94"/>
      <c r="C45" s="44" t="s">
        <v>18</v>
      </c>
      <c r="D45" s="44"/>
      <c r="E45" s="44"/>
      <c r="F45" s="51">
        <f>SUM(F28,F32,F39)</f>
        <v>2403079</v>
      </c>
      <c r="G45" s="52">
        <f>F45/$F$45*100</f>
        <v>100</v>
      </c>
      <c r="H45" s="51">
        <v>2376787</v>
      </c>
      <c r="I45" s="52">
        <f t="shared" si="3"/>
        <v>1.1061992513422547</v>
      </c>
    </row>
    <row r="46" spans="1:9">
      <c r="A46" s="21" t="s">
        <v>19</v>
      </c>
    </row>
    <row r="47" spans="1:9">
      <c r="A47" s="22" t="s">
        <v>20</v>
      </c>
    </row>
    <row r="48" spans="1:9">
      <c r="A48" s="22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0"/>
  <sheetViews>
    <sheetView view="pageBreakPreview" zoomScaleNormal="100" zoomScaleSheetLayoutView="100" workbookViewId="0">
      <pane xSplit="5" ySplit="7" topLeftCell="F8" activePane="bottomRight" state="frozen"/>
      <selection activeCell="Q22" sqref="Q22"/>
      <selection pane="topRight" activeCell="Q22" sqref="Q22"/>
      <selection pane="bottomLeft" activeCell="Q22" sqref="Q22"/>
      <selection pane="bottomRight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7" width="13.6328125" style="2" customWidth="1"/>
    <col min="28" max="31" width="12" style="2" customWidth="1"/>
    <col min="32" max="16384" width="9" style="2"/>
  </cols>
  <sheetData>
    <row r="1" spans="1:31" ht="34" customHeight="1">
      <c r="A1" s="20" t="s">
        <v>0</v>
      </c>
      <c r="B1" s="11"/>
      <c r="C1" s="11"/>
      <c r="D1" s="85" t="s">
        <v>250</v>
      </c>
      <c r="E1" s="13"/>
      <c r="F1" s="13"/>
      <c r="G1" s="13"/>
    </row>
    <row r="2" spans="1:31" ht="15" customHeight="1"/>
    <row r="3" spans="1:31" ht="15" customHeight="1">
      <c r="A3" s="14" t="s">
        <v>46</v>
      </c>
      <c r="B3" s="14"/>
      <c r="C3" s="14"/>
      <c r="D3" s="14"/>
    </row>
    <row r="4" spans="1:31" ht="15" customHeight="1">
      <c r="A4" s="14"/>
      <c r="B4" s="14"/>
      <c r="C4" s="14"/>
      <c r="D4" s="14"/>
    </row>
    <row r="5" spans="1:31" ht="16" customHeight="1">
      <c r="A5" s="12" t="s">
        <v>242</v>
      </c>
      <c r="B5" s="12"/>
      <c r="C5" s="12"/>
      <c r="D5" s="12"/>
      <c r="K5" s="15"/>
      <c r="Q5" s="15"/>
      <c r="U5" s="15" t="s">
        <v>47</v>
      </c>
    </row>
    <row r="6" spans="1:31" ht="16" customHeight="1">
      <c r="A6" s="111" t="s">
        <v>48</v>
      </c>
      <c r="B6" s="112"/>
      <c r="C6" s="112"/>
      <c r="D6" s="112"/>
      <c r="E6" s="112"/>
      <c r="F6" s="104" t="s">
        <v>252</v>
      </c>
      <c r="G6" s="105"/>
      <c r="H6" s="106" t="s">
        <v>267</v>
      </c>
      <c r="I6" s="105"/>
      <c r="J6" s="100" t="s">
        <v>257</v>
      </c>
      <c r="K6" s="101"/>
      <c r="L6" s="100" t="s">
        <v>258</v>
      </c>
      <c r="M6" s="101"/>
      <c r="N6" s="100" t="s">
        <v>259</v>
      </c>
      <c r="O6" s="101"/>
      <c r="P6" s="100" t="s">
        <v>260</v>
      </c>
      <c r="Q6" s="101"/>
      <c r="R6" s="100" t="s">
        <v>261</v>
      </c>
      <c r="S6" s="101"/>
      <c r="T6" s="100" t="s">
        <v>262</v>
      </c>
      <c r="U6" s="101"/>
    </row>
    <row r="7" spans="1:31" ht="16" customHeight="1">
      <c r="A7" s="112"/>
      <c r="B7" s="112"/>
      <c r="C7" s="112"/>
      <c r="D7" s="112"/>
      <c r="E7" s="112"/>
      <c r="F7" s="48" t="s">
        <v>243</v>
      </c>
      <c r="G7" s="48" t="s">
        <v>238</v>
      </c>
      <c r="H7" s="48" t="s">
        <v>243</v>
      </c>
      <c r="I7" s="48" t="s">
        <v>238</v>
      </c>
      <c r="J7" s="48" t="s">
        <v>243</v>
      </c>
      <c r="K7" s="48" t="s">
        <v>238</v>
      </c>
      <c r="L7" s="48" t="s">
        <v>243</v>
      </c>
      <c r="M7" s="48" t="s">
        <v>238</v>
      </c>
      <c r="N7" s="48" t="s">
        <v>243</v>
      </c>
      <c r="O7" s="48" t="s">
        <v>238</v>
      </c>
      <c r="P7" s="48" t="s">
        <v>243</v>
      </c>
      <c r="Q7" s="48" t="s">
        <v>238</v>
      </c>
      <c r="R7" s="48" t="s">
        <v>243</v>
      </c>
      <c r="S7" s="48" t="s">
        <v>238</v>
      </c>
      <c r="T7" s="48" t="s">
        <v>243</v>
      </c>
      <c r="U7" s="48" t="s">
        <v>238</v>
      </c>
    </row>
    <row r="8" spans="1:31" ht="16" customHeight="1">
      <c r="A8" s="109" t="s">
        <v>82</v>
      </c>
      <c r="B8" s="58" t="s">
        <v>49</v>
      </c>
      <c r="C8" s="50"/>
      <c r="D8" s="50"/>
      <c r="E8" s="63" t="s">
        <v>40</v>
      </c>
      <c r="F8" s="51">
        <v>30958.6</v>
      </c>
      <c r="G8" s="51">
        <v>31701.3</v>
      </c>
      <c r="H8" s="51">
        <v>179958</v>
      </c>
      <c r="I8" s="51">
        <v>171931</v>
      </c>
      <c r="J8" s="51">
        <v>15788</v>
      </c>
      <c r="K8" s="2">
        <v>15828</v>
      </c>
      <c r="L8" s="51">
        <v>4272</v>
      </c>
      <c r="M8" s="51">
        <v>4136</v>
      </c>
      <c r="N8" s="51">
        <v>0</v>
      </c>
      <c r="O8" s="51">
        <v>0</v>
      </c>
      <c r="P8" s="51">
        <v>2102</v>
      </c>
      <c r="Q8" s="51">
        <v>2727</v>
      </c>
      <c r="R8" s="51">
        <v>1411</v>
      </c>
      <c r="S8" s="51">
        <v>1355</v>
      </c>
      <c r="T8" s="51">
        <f>ROUND(1176+10+696+10+10,-3)/1000</f>
        <v>2</v>
      </c>
      <c r="U8" s="51">
        <v>1</v>
      </c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31" ht="16" customHeight="1">
      <c r="A9" s="109"/>
      <c r="B9" s="60"/>
      <c r="C9" s="50" t="s">
        <v>50</v>
      </c>
      <c r="D9" s="50"/>
      <c r="E9" s="63" t="s">
        <v>41</v>
      </c>
      <c r="F9" s="51">
        <v>30958.6</v>
      </c>
      <c r="G9" s="51">
        <v>30643.7</v>
      </c>
      <c r="H9" s="51">
        <f>+H8-H10</f>
        <v>179932</v>
      </c>
      <c r="I9" s="51">
        <f>+I8-I10</f>
        <v>171887</v>
      </c>
      <c r="J9" s="51">
        <v>15788</v>
      </c>
      <c r="K9" s="51">
        <v>15828</v>
      </c>
      <c r="L9" s="51">
        <v>4272</v>
      </c>
      <c r="M9" s="51">
        <v>4136</v>
      </c>
      <c r="N9" s="51">
        <v>0</v>
      </c>
      <c r="O9" s="51">
        <v>0</v>
      </c>
      <c r="P9" s="81">
        <v>2102</v>
      </c>
      <c r="Q9" s="51">
        <v>2727</v>
      </c>
      <c r="R9" s="51">
        <v>1411</v>
      </c>
      <c r="S9" s="51">
        <v>1355</v>
      </c>
      <c r="T9" s="51">
        <f>ROUND(1176+696+10,-3)/1000</f>
        <v>2</v>
      </c>
      <c r="U9" s="51">
        <v>1</v>
      </c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16" customHeight="1">
      <c r="A10" s="109"/>
      <c r="B10" s="59"/>
      <c r="C10" s="50" t="s">
        <v>51</v>
      </c>
      <c r="D10" s="50"/>
      <c r="E10" s="63" t="s">
        <v>42</v>
      </c>
      <c r="F10" s="51">
        <v>0</v>
      </c>
      <c r="G10" s="51">
        <v>1057.7</v>
      </c>
      <c r="H10" s="51">
        <v>26</v>
      </c>
      <c r="I10" s="51">
        <v>44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64">
        <v>0</v>
      </c>
      <c r="Q10" s="64">
        <v>0</v>
      </c>
      <c r="R10" s="51">
        <v>0</v>
      </c>
      <c r="S10" s="51">
        <v>0</v>
      </c>
      <c r="T10" s="51">
        <f>ROUND(10+10,-3)/1000</f>
        <v>0</v>
      </c>
      <c r="U10" s="51">
        <v>0</v>
      </c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31" ht="16" customHeight="1">
      <c r="A11" s="109"/>
      <c r="B11" s="58" t="s">
        <v>52</v>
      </c>
      <c r="C11" s="50"/>
      <c r="D11" s="50"/>
      <c r="E11" s="63" t="s">
        <v>43</v>
      </c>
      <c r="F11" s="51">
        <v>30958.6</v>
      </c>
      <c r="G11" s="51">
        <v>30643.7</v>
      </c>
      <c r="H11" s="51">
        <v>186654</v>
      </c>
      <c r="I11" s="51">
        <v>178130</v>
      </c>
      <c r="J11" s="51">
        <v>15436</v>
      </c>
      <c r="K11" s="51">
        <v>15361</v>
      </c>
      <c r="L11" s="51">
        <v>3505</v>
      </c>
      <c r="M11" s="51">
        <v>3551</v>
      </c>
      <c r="N11" s="51">
        <v>0</v>
      </c>
      <c r="O11" s="51">
        <v>0</v>
      </c>
      <c r="P11" s="51">
        <v>2291</v>
      </c>
      <c r="Q11" s="51">
        <v>2505</v>
      </c>
      <c r="R11" s="51">
        <v>1384</v>
      </c>
      <c r="S11" s="51">
        <v>1315</v>
      </c>
      <c r="T11" s="51">
        <f>ROUND(1265+10+675+10+124300+50000,-3)/1000</f>
        <v>176</v>
      </c>
      <c r="U11" s="51">
        <v>52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31" ht="16" customHeight="1">
      <c r="A12" s="109"/>
      <c r="B12" s="60"/>
      <c r="C12" s="50" t="s">
        <v>53</v>
      </c>
      <c r="D12" s="50"/>
      <c r="E12" s="63" t="s">
        <v>44</v>
      </c>
      <c r="F12" s="51">
        <v>30958.6</v>
      </c>
      <c r="G12" s="51">
        <v>30643.7</v>
      </c>
      <c r="H12" s="51">
        <f>+H11-H13</f>
        <v>184985</v>
      </c>
      <c r="I12" s="51">
        <f>+I11-I13</f>
        <v>176694</v>
      </c>
      <c r="J12" s="51">
        <v>15436</v>
      </c>
      <c r="K12" s="51">
        <v>15361</v>
      </c>
      <c r="L12" s="51">
        <v>3505</v>
      </c>
      <c r="M12" s="51">
        <v>3551</v>
      </c>
      <c r="N12" s="51">
        <v>0</v>
      </c>
      <c r="O12" s="51">
        <v>0</v>
      </c>
      <c r="P12" s="51">
        <v>2277</v>
      </c>
      <c r="Q12" s="51">
        <v>2505</v>
      </c>
      <c r="R12" s="81">
        <v>1384</v>
      </c>
      <c r="S12" s="81">
        <v>1305</v>
      </c>
      <c r="T12" s="51">
        <f>ROUND(1265+675+10+50000,-3)/1000</f>
        <v>52</v>
      </c>
      <c r="U12" s="51">
        <v>52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31" ht="16" customHeight="1">
      <c r="A13" s="109"/>
      <c r="B13" s="59"/>
      <c r="C13" s="50" t="s">
        <v>54</v>
      </c>
      <c r="D13" s="50"/>
      <c r="E13" s="63" t="s">
        <v>45</v>
      </c>
      <c r="F13" s="51">
        <v>0</v>
      </c>
      <c r="G13" s="51">
        <v>0</v>
      </c>
      <c r="H13" s="51">
        <v>1669</v>
      </c>
      <c r="I13" s="51">
        <v>1436</v>
      </c>
      <c r="J13" s="51">
        <v>0</v>
      </c>
      <c r="K13" s="51">
        <v>0</v>
      </c>
      <c r="L13" s="64">
        <v>0</v>
      </c>
      <c r="M13" s="51">
        <v>0</v>
      </c>
      <c r="N13" s="64">
        <v>0</v>
      </c>
      <c r="O13" s="51">
        <v>0</v>
      </c>
      <c r="P13" s="64">
        <v>14</v>
      </c>
      <c r="Q13" s="64">
        <v>0</v>
      </c>
      <c r="R13" s="91">
        <v>0</v>
      </c>
      <c r="S13" s="81">
        <v>10</v>
      </c>
      <c r="T13" s="51">
        <f>ROUND(10+124300,-3)/1000</f>
        <v>124</v>
      </c>
      <c r="U13" s="51">
        <v>0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31" ht="16" customHeight="1">
      <c r="A14" s="109"/>
      <c r="B14" s="50" t="s">
        <v>55</v>
      </c>
      <c r="C14" s="50"/>
      <c r="D14" s="50"/>
      <c r="E14" s="63" t="s">
        <v>96</v>
      </c>
      <c r="F14" s="51">
        <f t="shared" ref="F14:I15" si="0">F9-F12</f>
        <v>0</v>
      </c>
      <c r="G14" s="51">
        <f t="shared" si="0"/>
        <v>0</v>
      </c>
      <c r="H14" s="51">
        <f t="shared" si="0"/>
        <v>-5053</v>
      </c>
      <c r="I14" s="51">
        <f t="shared" si="0"/>
        <v>-4807</v>
      </c>
      <c r="J14" s="51">
        <f t="shared" ref="J14:U15" si="1">J9-J12</f>
        <v>352</v>
      </c>
      <c r="K14" s="51">
        <f t="shared" si="1"/>
        <v>467</v>
      </c>
      <c r="L14" s="51">
        <f t="shared" si="1"/>
        <v>767</v>
      </c>
      <c r="M14" s="51">
        <f t="shared" si="1"/>
        <v>585</v>
      </c>
      <c r="N14" s="51">
        <f t="shared" si="1"/>
        <v>0</v>
      </c>
      <c r="O14" s="51">
        <f t="shared" si="1"/>
        <v>0</v>
      </c>
      <c r="P14" s="51">
        <f t="shared" si="1"/>
        <v>-175</v>
      </c>
      <c r="Q14" s="51">
        <f t="shared" si="1"/>
        <v>222</v>
      </c>
      <c r="R14" s="51">
        <f t="shared" si="1"/>
        <v>27</v>
      </c>
      <c r="S14" s="51">
        <f t="shared" si="1"/>
        <v>50</v>
      </c>
      <c r="T14" s="51">
        <f t="shared" si="1"/>
        <v>-50</v>
      </c>
      <c r="U14" s="51">
        <f t="shared" si="1"/>
        <v>-51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31" ht="16" customHeight="1">
      <c r="A15" s="109"/>
      <c r="B15" s="50" t="s">
        <v>56</v>
      </c>
      <c r="C15" s="50"/>
      <c r="D15" s="50"/>
      <c r="E15" s="63" t="s">
        <v>97</v>
      </c>
      <c r="F15" s="51">
        <f t="shared" si="0"/>
        <v>0</v>
      </c>
      <c r="G15" s="51">
        <f t="shared" si="0"/>
        <v>1057.7</v>
      </c>
      <c r="H15" s="51">
        <f t="shared" si="0"/>
        <v>-1643</v>
      </c>
      <c r="I15" s="51">
        <f t="shared" si="0"/>
        <v>-1392</v>
      </c>
      <c r="J15" s="51">
        <f t="shared" si="1"/>
        <v>0</v>
      </c>
      <c r="K15" s="51">
        <f t="shared" si="1"/>
        <v>0</v>
      </c>
      <c r="L15" s="51">
        <f t="shared" si="1"/>
        <v>0</v>
      </c>
      <c r="M15" s="51">
        <f t="shared" si="1"/>
        <v>0</v>
      </c>
      <c r="N15" s="51">
        <f t="shared" si="1"/>
        <v>0</v>
      </c>
      <c r="O15" s="51">
        <f t="shared" si="1"/>
        <v>0</v>
      </c>
      <c r="P15" s="51">
        <f t="shared" si="1"/>
        <v>-14</v>
      </c>
      <c r="Q15" s="51">
        <f t="shared" si="1"/>
        <v>0</v>
      </c>
      <c r="R15" s="51">
        <f t="shared" si="1"/>
        <v>0</v>
      </c>
      <c r="S15" s="51">
        <f t="shared" si="1"/>
        <v>-10</v>
      </c>
      <c r="T15" s="51">
        <f t="shared" si="1"/>
        <v>-124</v>
      </c>
      <c r="U15" s="51">
        <f t="shared" si="1"/>
        <v>0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31" ht="16" customHeight="1">
      <c r="A16" s="109"/>
      <c r="B16" s="50" t="s">
        <v>57</v>
      </c>
      <c r="C16" s="50"/>
      <c r="D16" s="50"/>
      <c r="E16" s="63" t="s">
        <v>98</v>
      </c>
      <c r="F16" s="51">
        <f t="shared" ref="F16:I16" si="2">F8-F11</f>
        <v>0</v>
      </c>
      <c r="G16" s="51">
        <f t="shared" si="2"/>
        <v>1057.5999999999985</v>
      </c>
      <c r="H16" s="51">
        <f t="shared" si="2"/>
        <v>-6696</v>
      </c>
      <c r="I16" s="51">
        <f t="shared" si="2"/>
        <v>-6199</v>
      </c>
      <c r="J16" s="51">
        <f t="shared" ref="J16:U16" si="3">J8-J11</f>
        <v>352</v>
      </c>
      <c r="K16" s="51">
        <f>K8-K11</f>
        <v>467</v>
      </c>
      <c r="L16" s="51">
        <f t="shared" si="3"/>
        <v>767</v>
      </c>
      <c r="M16" s="51">
        <f t="shared" si="3"/>
        <v>585</v>
      </c>
      <c r="N16" s="51">
        <f t="shared" si="3"/>
        <v>0</v>
      </c>
      <c r="O16" s="51">
        <f t="shared" si="3"/>
        <v>0</v>
      </c>
      <c r="P16" s="51">
        <f t="shared" si="3"/>
        <v>-189</v>
      </c>
      <c r="Q16" s="51">
        <f t="shared" si="3"/>
        <v>222</v>
      </c>
      <c r="R16" s="51">
        <f t="shared" si="3"/>
        <v>27</v>
      </c>
      <c r="S16" s="51">
        <f t="shared" si="3"/>
        <v>40</v>
      </c>
      <c r="T16" s="51">
        <f t="shared" si="3"/>
        <v>-174</v>
      </c>
      <c r="U16" s="51">
        <f t="shared" si="3"/>
        <v>-51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ht="16" customHeight="1">
      <c r="A17" s="109"/>
      <c r="B17" s="50" t="s">
        <v>58</v>
      </c>
      <c r="C17" s="50"/>
      <c r="D17" s="50"/>
      <c r="E17" s="48"/>
      <c r="F17" s="51">
        <v>0</v>
      </c>
      <c r="G17" s="51">
        <v>0</v>
      </c>
      <c r="H17" s="51">
        <f>+I17-H16</f>
        <v>62466</v>
      </c>
      <c r="I17" s="51">
        <v>55770</v>
      </c>
      <c r="J17" s="51">
        <v>0</v>
      </c>
      <c r="K17" s="64">
        <v>0</v>
      </c>
      <c r="L17" s="64">
        <v>0</v>
      </c>
      <c r="M17" s="51">
        <v>0</v>
      </c>
      <c r="N17" s="64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64">
        <v>0</v>
      </c>
      <c r="U17" s="51">
        <v>0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ht="16" customHeight="1">
      <c r="A18" s="109"/>
      <c r="B18" s="50" t="s">
        <v>59</v>
      </c>
      <c r="C18" s="50"/>
      <c r="D18" s="50"/>
      <c r="E18" s="48"/>
      <c r="F18" s="65">
        <v>0</v>
      </c>
      <c r="G18" s="65">
        <v>0</v>
      </c>
      <c r="H18" s="65"/>
      <c r="I18" s="65"/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51">
        <v>0</v>
      </c>
      <c r="R18" s="65">
        <v>0</v>
      </c>
      <c r="S18" s="51">
        <v>0</v>
      </c>
      <c r="T18" s="65">
        <v>0</v>
      </c>
      <c r="U18" s="51">
        <v>0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ht="16" customHeight="1">
      <c r="A19" s="109" t="s">
        <v>83</v>
      </c>
      <c r="B19" s="58" t="s">
        <v>60</v>
      </c>
      <c r="C19" s="50"/>
      <c r="D19" s="50"/>
      <c r="E19" s="63"/>
      <c r="F19" s="51">
        <v>31036.3</v>
      </c>
      <c r="G19" s="51">
        <v>27086.5</v>
      </c>
      <c r="H19" s="51">
        <v>59877</v>
      </c>
      <c r="I19" s="51">
        <v>43197</v>
      </c>
      <c r="J19" s="51">
        <v>1000</v>
      </c>
      <c r="K19" s="51">
        <v>3079</v>
      </c>
      <c r="L19" s="51">
        <v>1000</v>
      </c>
      <c r="M19" s="51">
        <v>1000</v>
      </c>
      <c r="N19" s="51">
        <v>89</v>
      </c>
      <c r="O19" s="51">
        <v>58</v>
      </c>
      <c r="P19" s="51">
        <v>9135</v>
      </c>
      <c r="Q19" s="51">
        <v>30</v>
      </c>
      <c r="R19" s="51">
        <v>205</v>
      </c>
      <c r="S19" s="51">
        <v>205</v>
      </c>
      <c r="T19" s="51">
        <f>ROUND(500000+446048+10+10,-3)/1000</f>
        <v>946</v>
      </c>
      <c r="U19" s="51">
        <v>0.1</v>
      </c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ht="16" customHeight="1">
      <c r="A20" s="109"/>
      <c r="B20" s="59"/>
      <c r="C20" s="50" t="s">
        <v>61</v>
      </c>
      <c r="D20" s="50"/>
      <c r="E20" s="63"/>
      <c r="F20" s="51">
        <v>9683.2999999999993</v>
      </c>
      <c r="G20" s="51">
        <v>7644.4</v>
      </c>
      <c r="H20" s="51">
        <v>51044</v>
      </c>
      <c r="I20" s="51">
        <v>34555</v>
      </c>
      <c r="J20" s="51">
        <v>0</v>
      </c>
      <c r="K20" s="51">
        <v>352</v>
      </c>
      <c r="L20" s="2">
        <v>0</v>
      </c>
      <c r="M20" s="51">
        <v>0</v>
      </c>
      <c r="N20" s="51">
        <v>0</v>
      </c>
      <c r="O20" s="51">
        <v>0</v>
      </c>
      <c r="P20" s="51">
        <v>9100</v>
      </c>
      <c r="Q20" s="65">
        <v>0</v>
      </c>
      <c r="R20" s="51">
        <v>0</v>
      </c>
      <c r="S20" s="51">
        <v>0</v>
      </c>
      <c r="T20" s="51">
        <v>0</v>
      </c>
      <c r="U20" s="51">
        <v>0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ht="16" customHeight="1">
      <c r="A21" s="109"/>
      <c r="B21" s="50" t="s">
        <v>62</v>
      </c>
      <c r="C21" s="50"/>
      <c r="D21" s="50"/>
      <c r="E21" s="63" t="s">
        <v>99</v>
      </c>
      <c r="F21" s="51">
        <v>31036.3</v>
      </c>
      <c r="G21" s="51">
        <v>27086.5</v>
      </c>
      <c r="H21" s="51">
        <f>+H19</f>
        <v>59877</v>
      </c>
      <c r="I21" s="51">
        <f>+I19</f>
        <v>43197</v>
      </c>
      <c r="J21" s="51">
        <v>1000</v>
      </c>
      <c r="K21" s="51">
        <v>3079</v>
      </c>
      <c r="L21" s="51">
        <v>1000</v>
      </c>
      <c r="M21" s="51">
        <v>1000</v>
      </c>
      <c r="N21" s="51">
        <v>89</v>
      </c>
      <c r="O21" s="51">
        <v>58</v>
      </c>
      <c r="P21" s="51">
        <v>9135</v>
      </c>
      <c r="Q21" s="51">
        <v>30</v>
      </c>
      <c r="R21" s="51">
        <v>205</v>
      </c>
      <c r="S21" s="51">
        <v>205</v>
      </c>
      <c r="T21" s="51">
        <f>ROUND(500000+446048+10+10,-3)/1000</f>
        <v>946</v>
      </c>
      <c r="U21" s="51">
        <v>0.1</v>
      </c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ht="16" customHeight="1">
      <c r="A22" s="109"/>
      <c r="B22" s="58" t="s">
        <v>63</v>
      </c>
      <c r="C22" s="50"/>
      <c r="D22" s="50"/>
      <c r="E22" s="63" t="s">
        <v>100</v>
      </c>
      <c r="F22" s="51">
        <v>31036.3</v>
      </c>
      <c r="G22" s="51">
        <v>27086.5</v>
      </c>
      <c r="H22" s="51">
        <v>65216</v>
      </c>
      <c r="I22" s="51">
        <v>48533</v>
      </c>
      <c r="J22" s="51">
        <v>6549</v>
      </c>
      <c r="K22" s="51">
        <v>7505</v>
      </c>
      <c r="L22" s="51">
        <v>2497</v>
      </c>
      <c r="M22" s="51">
        <v>2809</v>
      </c>
      <c r="N22" s="51">
        <v>89</v>
      </c>
      <c r="O22" s="51">
        <v>58</v>
      </c>
      <c r="P22" s="51">
        <v>15295</v>
      </c>
      <c r="Q22" s="51">
        <v>7386</v>
      </c>
      <c r="R22" s="51">
        <v>88</v>
      </c>
      <c r="S22" s="51">
        <v>50</v>
      </c>
      <c r="T22" s="51">
        <f>ROUND(10+272145+50000,-3)/1000</f>
        <v>322</v>
      </c>
      <c r="U22" s="51">
        <v>2275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ht="16" customHeight="1">
      <c r="A23" s="109"/>
      <c r="B23" s="59" t="s">
        <v>64</v>
      </c>
      <c r="C23" s="50" t="s">
        <v>65</v>
      </c>
      <c r="D23" s="50"/>
      <c r="E23" s="63"/>
      <c r="F23" s="51">
        <v>3977.7</v>
      </c>
      <c r="G23" s="51">
        <v>4209.3</v>
      </c>
      <c r="H23" s="51">
        <v>12274</v>
      </c>
      <c r="I23" s="51">
        <v>12529</v>
      </c>
      <c r="J23" s="51">
        <v>1924</v>
      </c>
      <c r="K23" s="51">
        <v>2233</v>
      </c>
      <c r="L23" s="51">
        <v>823</v>
      </c>
      <c r="M23" s="51">
        <v>854</v>
      </c>
      <c r="N23" s="51">
        <v>0</v>
      </c>
      <c r="O23" s="51">
        <v>0</v>
      </c>
      <c r="P23" s="51">
        <v>12798</v>
      </c>
      <c r="Q23" s="51">
        <v>5103</v>
      </c>
      <c r="R23" s="51">
        <v>0</v>
      </c>
      <c r="S23" s="51">
        <v>0</v>
      </c>
      <c r="T23" s="51">
        <v>0</v>
      </c>
      <c r="U23" s="51">
        <v>1731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ht="16" customHeight="1">
      <c r="A24" s="109"/>
      <c r="B24" s="50" t="s">
        <v>101</v>
      </c>
      <c r="C24" s="50"/>
      <c r="D24" s="50"/>
      <c r="E24" s="63" t="s">
        <v>102</v>
      </c>
      <c r="F24" s="51">
        <f t="shared" ref="F24:I24" si="4">F21-F22</f>
        <v>0</v>
      </c>
      <c r="G24" s="51">
        <f t="shared" si="4"/>
        <v>0</v>
      </c>
      <c r="H24" s="51">
        <f t="shared" si="4"/>
        <v>-5339</v>
      </c>
      <c r="I24" s="51">
        <f t="shared" si="4"/>
        <v>-5336</v>
      </c>
      <c r="J24" s="51">
        <f t="shared" ref="J24:U24" si="5">J21-J22</f>
        <v>-5549</v>
      </c>
      <c r="K24" s="51">
        <f t="shared" si="5"/>
        <v>-4426</v>
      </c>
      <c r="L24" s="51">
        <f t="shared" si="5"/>
        <v>-1497</v>
      </c>
      <c r="M24" s="51">
        <f t="shared" si="5"/>
        <v>-1809</v>
      </c>
      <c r="N24" s="51">
        <f t="shared" si="5"/>
        <v>0</v>
      </c>
      <c r="O24" s="51">
        <v>0</v>
      </c>
      <c r="P24" s="51">
        <f t="shared" si="5"/>
        <v>-6160</v>
      </c>
      <c r="Q24" s="51">
        <f t="shared" si="5"/>
        <v>-7356</v>
      </c>
      <c r="R24" s="51">
        <f t="shared" si="5"/>
        <v>117</v>
      </c>
      <c r="S24" s="51">
        <f t="shared" si="5"/>
        <v>155</v>
      </c>
      <c r="T24" s="51">
        <f t="shared" si="5"/>
        <v>624</v>
      </c>
      <c r="U24" s="51">
        <f t="shared" si="5"/>
        <v>-2274.9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ht="16" customHeight="1">
      <c r="A25" s="109"/>
      <c r="B25" s="58" t="s">
        <v>66</v>
      </c>
      <c r="C25" s="58"/>
      <c r="D25" s="58"/>
      <c r="E25" s="113" t="s">
        <v>103</v>
      </c>
      <c r="F25" s="98">
        <v>0</v>
      </c>
      <c r="G25" s="98">
        <v>0</v>
      </c>
      <c r="H25" s="98">
        <v>5339</v>
      </c>
      <c r="I25" s="98">
        <v>5336</v>
      </c>
      <c r="J25" s="98">
        <v>5549</v>
      </c>
      <c r="K25" s="107">
        <v>4426</v>
      </c>
      <c r="L25" s="98">
        <v>1497</v>
      </c>
      <c r="M25" s="98">
        <v>1809</v>
      </c>
      <c r="N25" s="98">
        <v>0</v>
      </c>
      <c r="O25" s="98">
        <v>0</v>
      </c>
      <c r="P25" s="98">
        <v>6160</v>
      </c>
      <c r="Q25" s="98">
        <v>7356</v>
      </c>
      <c r="R25" s="98">
        <v>0</v>
      </c>
      <c r="S25" s="98">
        <v>0</v>
      </c>
      <c r="T25" s="98"/>
      <c r="U25" s="98">
        <v>2275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16" customHeight="1">
      <c r="A26" s="109"/>
      <c r="B26" s="77" t="s">
        <v>67</v>
      </c>
      <c r="C26" s="77"/>
      <c r="D26" s="77"/>
      <c r="E26" s="114"/>
      <c r="F26" s="99"/>
      <c r="G26" s="99"/>
      <c r="H26" s="99"/>
      <c r="I26" s="99"/>
      <c r="J26" s="99"/>
      <c r="K26" s="108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ht="16" customHeight="1">
      <c r="A27" s="109"/>
      <c r="B27" s="50" t="s">
        <v>104</v>
      </c>
      <c r="C27" s="50"/>
      <c r="D27" s="50"/>
      <c r="E27" s="63" t="s">
        <v>105</v>
      </c>
      <c r="F27" s="51">
        <f>F24+F25</f>
        <v>0</v>
      </c>
      <c r="G27" s="51">
        <f t="shared" ref="G27" si="6">G24+G25</f>
        <v>0</v>
      </c>
      <c r="H27" s="51">
        <f>H24+H25</f>
        <v>0</v>
      </c>
      <c r="I27" s="51">
        <f t="shared" ref="I27" si="7">I24+I25</f>
        <v>0</v>
      </c>
      <c r="J27" s="51">
        <f>J24+J25</f>
        <v>0</v>
      </c>
      <c r="K27" s="51">
        <f>K24+K25</f>
        <v>0</v>
      </c>
      <c r="L27" s="51">
        <f t="shared" ref="L27:T27" si="8">L24+L25</f>
        <v>0</v>
      </c>
      <c r="M27" s="51">
        <f>M24+M25</f>
        <v>0</v>
      </c>
      <c r="N27" s="51">
        <f t="shared" ref="N27" si="9">N24+N25</f>
        <v>0</v>
      </c>
      <c r="O27" s="51">
        <f>O24+O25</f>
        <v>0</v>
      </c>
      <c r="P27" s="51">
        <f t="shared" si="8"/>
        <v>0</v>
      </c>
      <c r="Q27" s="51">
        <f t="shared" si="8"/>
        <v>0</v>
      </c>
      <c r="R27" s="51">
        <f t="shared" si="8"/>
        <v>117</v>
      </c>
      <c r="S27" s="51">
        <f t="shared" si="8"/>
        <v>155</v>
      </c>
      <c r="T27" s="51">
        <f t="shared" si="8"/>
        <v>624</v>
      </c>
      <c r="U27" s="51">
        <f>U24+U25</f>
        <v>9.9999999999909051E-2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16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16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5"/>
      <c r="P29" s="26"/>
      <c r="Q29" s="26"/>
      <c r="R29" s="25"/>
      <c r="S29" s="25"/>
      <c r="T29" s="25"/>
      <c r="U29" s="26" t="s">
        <v>106</v>
      </c>
      <c r="V29" s="25"/>
      <c r="W29" s="25"/>
      <c r="X29" s="25"/>
      <c r="Y29" s="25"/>
      <c r="Z29" s="25"/>
      <c r="AA29" s="25"/>
      <c r="AB29" s="25"/>
      <c r="AC29" s="25"/>
      <c r="AD29" s="25"/>
      <c r="AE29" s="26"/>
    </row>
    <row r="30" spans="1:31" ht="16" customHeight="1">
      <c r="A30" s="112" t="s">
        <v>68</v>
      </c>
      <c r="B30" s="112"/>
      <c r="C30" s="112"/>
      <c r="D30" s="112"/>
      <c r="E30" s="112"/>
      <c r="F30" s="103" t="s">
        <v>253</v>
      </c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27"/>
      <c r="W30" s="25"/>
      <c r="X30" s="27"/>
      <c r="Y30" s="25"/>
      <c r="Z30" s="27"/>
      <c r="AA30" s="25"/>
      <c r="AB30" s="27"/>
      <c r="AC30" s="25"/>
      <c r="AD30" s="27"/>
      <c r="AE30" s="25"/>
    </row>
    <row r="31" spans="1:31" ht="16" customHeight="1">
      <c r="A31" s="112"/>
      <c r="B31" s="112"/>
      <c r="C31" s="112"/>
      <c r="D31" s="112"/>
      <c r="E31" s="112"/>
      <c r="F31" s="48" t="s">
        <v>243</v>
      </c>
      <c r="G31" s="48" t="s">
        <v>238</v>
      </c>
      <c r="H31" s="48" t="s">
        <v>243</v>
      </c>
      <c r="I31" s="48" t="s">
        <v>238</v>
      </c>
      <c r="J31" s="48" t="s">
        <v>243</v>
      </c>
      <c r="K31" s="48" t="s">
        <v>238</v>
      </c>
      <c r="L31" s="48" t="s">
        <v>243</v>
      </c>
      <c r="M31" s="48" t="s">
        <v>238</v>
      </c>
      <c r="N31" s="48" t="s">
        <v>243</v>
      </c>
      <c r="O31" s="48" t="s">
        <v>238</v>
      </c>
      <c r="P31" s="48" t="s">
        <v>243</v>
      </c>
      <c r="Q31" s="48" t="s">
        <v>238</v>
      </c>
      <c r="R31" s="48" t="s">
        <v>243</v>
      </c>
      <c r="S31" s="48" t="s">
        <v>238</v>
      </c>
      <c r="T31" s="48" t="s">
        <v>243</v>
      </c>
      <c r="U31" s="48" t="s">
        <v>238</v>
      </c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ht="16" customHeight="1">
      <c r="A32" s="109" t="s">
        <v>84</v>
      </c>
      <c r="B32" s="58" t="s">
        <v>49</v>
      </c>
      <c r="C32" s="50"/>
      <c r="D32" s="50"/>
      <c r="E32" s="63" t="s">
        <v>40</v>
      </c>
      <c r="F32" s="51">
        <f>SUM(F33,F35)</f>
        <v>1786.173</v>
      </c>
      <c r="G32" s="51">
        <f>SUM(G33,G35)</f>
        <v>2261.2370000000001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29"/>
      <c r="W32" s="29"/>
      <c r="X32" s="29"/>
      <c r="Y32" s="29"/>
      <c r="Z32" s="30"/>
      <c r="AA32" s="30"/>
      <c r="AB32" s="29"/>
      <c r="AC32" s="29"/>
      <c r="AD32" s="30"/>
      <c r="AE32" s="30"/>
    </row>
    <row r="33" spans="1:31" ht="16" customHeight="1">
      <c r="A33" s="115"/>
      <c r="B33" s="60"/>
      <c r="C33" s="58" t="s">
        <v>69</v>
      </c>
      <c r="D33" s="50"/>
      <c r="E33" s="63"/>
      <c r="F33" s="51">
        <f>1786.173</f>
        <v>1786.173</v>
      </c>
      <c r="G33" s="51">
        <f>2261.237</f>
        <v>2261.2370000000001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29"/>
      <c r="W33" s="29"/>
      <c r="X33" s="29"/>
      <c r="Y33" s="29"/>
      <c r="Z33" s="30"/>
      <c r="AA33" s="30"/>
      <c r="AB33" s="29"/>
      <c r="AC33" s="29"/>
      <c r="AD33" s="30"/>
      <c r="AE33" s="30"/>
    </row>
    <row r="34" spans="1:31" ht="16" customHeight="1">
      <c r="A34" s="115"/>
      <c r="B34" s="60"/>
      <c r="C34" s="59"/>
      <c r="D34" s="50" t="s">
        <v>70</v>
      </c>
      <c r="E34" s="63"/>
      <c r="F34" s="51">
        <f>1786.173</f>
        <v>1786.173</v>
      </c>
      <c r="G34" s="51">
        <f>2261.237</f>
        <v>2261.2370000000001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29"/>
      <c r="W34" s="29"/>
      <c r="X34" s="29"/>
      <c r="Y34" s="29"/>
      <c r="Z34" s="30"/>
      <c r="AA34" s="30"/>
      <c r="AB34" s="29"/>
      <c r="AC34" s="29"/>
      <c r="AD34" s="30"/>
      <c r="AE34" s="30"/>
    </row>
    <row r="35" spans="1:31" ht="16" customHeight="1">
      <c r="A35" s="115"/>
      <c r="B35" s="59"/>
      <c r="C35" s="50" t="s">
        <v>71</v>
      </c>
      <c r="D35" s="50"/>
      <c r="E35" s="63"/>
      <c r="F35" s="51">
        <v>0</v>
      </c>
      <c r="G35" s="51">
        <v>0</v>
      </c>
      <c r="H35" s="51"/>
      <c r="I35" s="51"/>
      <c r="J35" s="65"/>
      <c r="K35" s="65"/>
      <c r="L35" s="51"/>
      <c r="M35" s="51"/>
      <c r="N35" s="51"/>
      <c r="O35" s="51"/>
      <c r="P35" s="65"/>
      <c r="Q35" s="65"/>
      <c r="R35" s="51"/>
      <c r="S35" s="51"/>
      <c r="T35" s="51"/>
      <c r="U35" s="51"/>
      <c r="V35" s="29"/>
      <c r="W35" s="29"/>
      <c r="X35" s="29"/>
      <c r="Y35" s="29"/>
      <c r="Z35" s="30"/>
      <c r="AA35" s="30"/>
      <c r="AB35" s="29"/>
      <c r="AC35" s="29"/>
      <c r="AD35" s="30"/>
      <c r="AE35" s="30"/>
    </row>
    <row r="36" spans="1:31" ht="16" customHeight="1">
      <c r="A36" s="115"/>
      <c r="B36" s="58" t="s">
        <v>52</v>
      </c>
      <c r="C36" s="50"/>
      <c r="D36" s="50"/>
      <c r="E36" s="63" t="s">
        <v>41</v>
      </c>
      <c r="F36" s="51">
        <f>SUM(F37,F38)</f>
        <v>1333.6079999999999</v>
      </c>
      <c r="G36" s="51">
        <f>SUM(G37,G38)</f>
        <v>1608.395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29"/>
      <c r="W36" s="29"/>
      <c r="X36" s="29"/>
      <c r="Y36" s="29"/>
      <c r="Z36" s="29"/>
      <c r="AA36" s="29"/>
      <c r="AB36" s="29"/>
      <c r="AC36" s="29"/>
      <c r="AD36" s="30"/>
      <c r="AE36" s="30"/>
    </row>
    <row r="37" spans="1:31" ht="16" customHeight="1">
      <c r="A37" s="115"/>
      <c r="B37" s="60"/>
      <c r="C37" s="50" t="s">
        <v>72</v>
      </c>
      <c r="D37" s="50"/>
      <c r="E37" s="63"/>
      <c r="F37" s="51">
        <v>1223.577</v>
      </c>
      <c r="G37" s="51">
        <f>1500.043</f>
        <v>1500.0429999999999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29"/>
      <c r="W37" s="29"/>
      <c r="X37" s="29"/>
      <c r="Y37" s="29"/>
      <c r="Z37" s="29"/>
      <c r="AA37" s="29"/>
      <c r="AB37" s="29"/>
      <c r="AC37" s="29"/>
      <c r="AD37" s="30"/>
      <c r="AE37" s="30"/>
    </row>
    <row r="38" spans="1:31" ht="16" customHeight="1">
      <c r="A38" s="115"/>
      <c r="B38" s="59"/>
      <c r="C38" s="50" t="s">
        <v>73</v>
      </c>
      <c r="D38" s="50"/>
      <c r="E38" s="63"/>
      <c r="F38" s="51">
        <f>110.031</f>
        <v>110.03100000000001</v>
      </c>
      <c r="G38" s="51">
        <f>108.352</f>
        <v>108.352</v>
      </c>
      <c r="H38" s="51"/>
      <c r="I38" s="51"/>
      <c r="J38" s="51"/>
      <c r="K38" s="65"/>
      <c r="L38" s="51"/>
      <c r="M38" s="51"/>
      <c r="N38" s="51"/>
      <c r="O38" s="51"/>
      <c r="P38" s="51"/>
      <c r="Q38" s="65"/>
      <c r="R38" s="51"/>
      <c r="S38" s="51"/>
      <c r="T38" s="51"/>
      <c r="U38" s="51"/>
      <c r="V38" s="29"/>
      <c r="W38" s="29"/>
      <c r="X38" s="30"/>
      <c r="Y38" s="30"/>
      <c r="Z38" s="29"/>
      <c r="AA38" s="29"/>
      <c r="AB38" s="29"/>
      <c r="AC38" s="29"/>
      <c r="AD38" s="30"/>
      <c r="AE38" s="30"/>
    </row>
    <row r="39" spans="1:31" ht="16" customHeight="1">
      <c r="A39" s="115"/>
      <c r="B39" s="44" t="s">
        <v>74</v>
      </c>
      <c r="C39" s="44"/>
      <c r="D39" s="44"/>
      <c r="E39" s="63" t="s">
        <v>107</v>
      </c>
      <c r="F39" s="51">
        <f>F32-F36</f>
        <v>452.56500000000005</v>
      </c>
      <c r="G39" s="51">
        <f>G32-G36</f>
        <v>652.8420000000001</v>
      </c>
      <c r="H39" s="51">
        <f t="shared" ref="H39:U39" si="10">H32-H36</f>
        <v>0</v>
      </c>
      <c r="I39" s="51">
        <f t="shared" si="10"/>
        <v>0</v>
      </c>
      <c r="J39" s="51">
        <f t="shared" si="10"/>
        <v>0</v>
      </c>
      <c r="K39" s="51">
        <f t="shared" si="10"/>
        <v>0</v>
      </c>
      <c r="L39" s="51">
        <f t="shared" si="10"/>
        <v>0</v>
      </c>
      <c r="M39" s="51">
        <f t="shared" si="10"/>
        <v>0</v>
      </c>
      <c r="N39" s="51">
        <f t="shared" ref="N39:S39" si="11">N32-N36</f>
        <v>0</v>
      </c>
      <c r="O39" s="51">
        <f t="shared" si="11"/>
        <v>0</v>
      </c>
      <c r="P39" s="51">
        <f t="shared" si="11"/>
        <v>0</v>
      </c>
      <c r="Q39" s="51">
        <f t="shared" si="11"/>
        <v>0</v>
      </c>
      <c r="R39" s="51">
        <f t="shared" si="11"/>
        <v>0</v>
      </c>
      <c r="S39" s="51">
        <f t="shared" si="11"/>
        <v>0</v>
      </c>
      <c r="T39" s="51">
        <f t="shared" si="10"/>
        <v>0</v>
      </c>
      <c r="U39" s="51">
        <f t="shared" si="10"/>
        <v>0</v>
      </c>
      <c r="V39" s="29"/>
      <c r="W39" s="29"/>
      <c r="X39" s="29"/>
      <c r="Y39" s="29"/>
      <c r="Z39" s="29"/>
      <c r="AA39" s="29"/>
      <c r="AB39" s="29"/>
      <c r="AC39" s="29"/>
      <c r="AD39" s="30"/>
      <c r="AE39" s="30"/>
    </row>
    <row r="40" spans="1:31" ht="16" customHeight="1">
      <c r="A40" s="109" t="s">
        <v>85</v>
      </c>
      <c r="B40" s="58" t="s">
        <v>75</v>
      </c>
      <c r="C40" s="50"/>
      <c r="D40" s="50"/>
      <c r="E40" s="63" t="s">
        <v>43</v>
      </c>
      <c r="F40" s="51">
        <f>1950.8+40.868</f>
        <v>1991.6679999999999</v>
      </c>
      <c r="G40" s="51">
        <f>2795.4+40.868</f>
        <v>2836.268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29"/>
      <c r="W40" s="29"/>
      <c r="X40" s="29"/>
      <c r="Y40" s="29"/>
      <c r="Z40" s="30"/>
      <c r="AA40" s="30"/>
      <c r="AB40" s="30"/>
      <c r="AC40" s="30"/>
      <c r="AD40" s="29"/>
      <c r="AE40" s="29"/>
    </row>
    <row r="41" spans="1:31" ht="16" customHeight="1">
      <c r="A41" s="110"/>
      <c r="B41" s="59"/>
      <c r="C41" s="50" t="s">
        <v>76</v>
      </c>
      <c r="D41" s="50"/>
      <c r="E41" s="63"/>
      <c r="F41" s="65">
        <f>1950.8</f>
        <v>1950.8</v>
      </c>
      <c r="G41" s="65">
        <f>2795.4</f>
        <v>2795.4</v>
      </c>
      <c r="H41" s="65"/>
      <c r="I41" s="65"/>
      <c r="J41" s="51"/>
      <c r="K41" s="51"/>
      <c r="L41" s="51"/>
      <c r="M41" s="51"/>
      <c r="N41" s="65"/>
      <c r="O41" s="65"/>
      <c r="P41" s="51"/>
      <c r="Q41" s="51"/>
      <c r="R41" s="51"/>
      <c r="S41" s="51"/>
      <c r="T41" s="51"/>
      <c r="U41" s="51"/>
      <c r="V41" s="30"/>
      <c r="W41" s="30"/>
      <c r="X41" s="30"/>
      <c r="Y41" s="30"/>
      <c r="Z41" s="30"/>
      <c r="AA41" s="30"/>
      <c r="AB41" s="30"/>
      <c r="AC41" s="30"/>
      <c r="AD41" s="29"/>
      <c r="AE41" s="29"/>
    </row>
    <row r="42" spans="1:31" ht="16" customHeight="1">
      <c r="A42" s="110"/>
      <c r="B42" s="58" t="s">
        <v>63</v>
      </c>
      <c r="C42" s="50"/>
      <c r="D42" s="50"/>
      <c r="E42" s="63" t="s">
        <v>44</v>
      </c>
      <c r="F42" s="51">
        <f>1147+76.5+400+820.235</f>
        <v>2443.7350000000001</v>
      </c>
      <c r="G42" s="51">
        <f>1537+76.5+1071.2+804.412</f>
        <v>3489.1120000000001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29"/>
      <c r="W42" s="29"/>
      <c r="X42" s="29"/>
      <c r="Y42" s="29"/>
      <c r="Z42" s="30"/>
      <c r="AA42" s="30"/>
      <c r="AB42" s="29"/>
      <c r="AC42" s="29"/>
      <c r="AD42" s="29"/>
      <c r="AE42" s="29"/>
    </row>
    <row r="43" spans="1:31" ht="16" customHeight="1">
      <c r="A43" s="110"/>
      <c r="B43" s="59"/>
      <c r="C43" s="50" t="s">
        <v>77</v>
      </c>
      <c r="D43" s="50"/>
      <c r="E43" s="63"/>
      <c r="F43" s="87">
        <f>820.235</f>
        <v>820.23500000000001</v>
      </c>
      <c r="G43" s="87">
        <v>804.41200000000003</v>
      </c>
      <c r="H43" s="51"/>
      <c r="I43" s="51"/>
      <c r="J43" s="65"/>
      <c r="K43" s="65"/>
      <c r="L43" s="51"/>
      <c r="M43" s="51"/>
      <c r="N43" s="51"/>
      <c r="O43" s="51"/>
      <c r="P43" s="65"/>
      <c r="Q43" s="65"/>
      <c r="R43" s="51"/>
      <c r="S43" s="51"/>
      <c r="T43" s="51"/>
      <c r="U43" s="51"/>
      <c r="V43" s="29"/>
      <c r="W43" s="29"/>
      <c r="X43" s="30"/>
      <c r="Y43" s="29"/>
      <c r="Z43" s="30"/>
      <c r="AA43" s="30"/>
      <c r="AB43" s="29"/>
      <c r="AC43" s="29"/>
      <c r="AD43" s="30"/>
      <c r="AE43" s="30"/>
    </row>
    <row r="44" spans="1:31" ht="16" customHeight="1">
      <c r="A44" s="110"/>
      <c r="B44" s="50" t="s">
        <v>74</v>
      </c>
      <c r="C44" s="50"/>
      <c r="D44" s="50"/>
      <c r="E44" s="63" t="s">
        <v>108</v>
      </c>
      <c r="F44" s="65">
        <f>F40-F42</f>
        <v>-452.06700000000023</v>
      </c>
      <c r="G44" s="65">
        <f t="shared" ref="G44" si="12">G40-G42</f>
        <v>-652.84400000000005</v>
      </c>
      <c r="H44" s="65">
        <f t="shared" ref="H44:U44" si="13">H40-H42</f>
        <v>0</v>
      </c>
      <c r="I44" s="65">
        <f t="shared" si="13"/>
        <v>0</v>
      </c>
      <c r="J44" s="65">
        <f t="shared" si="13"/>
        <v>0</v>
      </c>
      <c r="K44" s="65">
        <f t="shared" si="13"/>
        <v>0</v>
      </c>
      <c r="L44" s="65">
        <f t="shared" si="13"/>
        <v>0</v>
      </c>
      <c r="M44" s="65">
        <f t="shared" si="13"/>
        <v>0</v>
      </c>
      <c r="N44" s="65">
        <f t="shared" ref="N44:S44" si="14">N40-N42</f>
        <v>0</v>
      </c>
      <c r="O44" s="65">
        <f t="shared" si="14"/>
        <v>0</v>
      </c>
      <c r="P44" s="65">
        <f t="shared" si="14"/>
        <v>0</v>
      </c>
      <c r="Q44" s="65">
        <f t="shared" si="14"/>
        <v>0</v>
      </c>
      <c r="R44" s="65">
        <f t="shared" si="14"/>
        <v>0</v>
      </c>
      <c r="S44" s="65">
        <f t="shared" si="14"/>
        <v>0</v>
      </c>
      <c r="T44" s="65">
        <f t="shared" si="13"/>
        <v>0</v>
      </c>
      <c r="U44" s="65">
        <f t="shared" si="13"/>
        <v>0</v>
      </c>
      <c r="V44" s="30"/>
      <c r="W44" s="30"/>
      <c r="X44" s="29"/>
      <c r="Y44" s="29"/>
      <c r="Z44" s="30"/>
      <c r="AA44" s="30"/>
      <c r="AB44" s="29"/>
      <c r="AC44" s="29"/>
      <c r="AD44" s="29"/>
      <c r="AE44" s="29"/>
    </row>
    <row r="45" spans="1:31" ht="16" customHeight="1">
      <c r="A45" s="109" t="s">
        <v>86</v>
      </c>
      <c r="B45" s="44" t="s">
        <v>78</v>
      </c>
      <c r="C45" s="44"/>
      <c r="D45" s="44"/>
      <c r="E45" s="63" t="s">
        <v>109</v>
      </c>
      <c r="F45" s="51">
        <f>F39+F44</f>
        <v>0.49799999999981992</v>
      </c>
      <c r="G45" s="88">
        <f t="shared" ref="G45" si="15">G39+G44</f>
        <v>-1.9999999999527063E-3</v>
      </c>
      <c r="H45" s="51">
        <f t="shared" ref="H45:U45" si="16">H39+H44</f>
        <v>0</v>
      </c>
      <c r="I45" s="51">
        <f t="shared" si="16"/>
        <v>0</v>
      </c>
      <c r="J45" s="51">
        <f t="shared" si="16"/>
        <v>0</v>
      </c>
      <c r="K45" s="51">
        <f t="shared" si="16"/>
        <v>0</v>
      </c>
      <c r="L45" s="51">
        <f t="shared" si="16"/>
        <v>0</v>
      </c>
      <c r="M45" s="51">
        <f t="shared" si="16"/>
        <v>0</v>
      </c>
      <c r="N45" s="51">
        <f t="shared" ref="N45:S45" si="17">N39+N44</f>
        <v>0</v>
      </c>
      <c r="O45" s="51">
        <f t="shared" si="17"/>
        <v>0</v>
      </c>
      <c r="P45" s="51">
        <f t="shared" si="17"/>
        <v>0</v>
      </c>
      <c r="Q45" s="51">
        <f t="shared" si="17"/>
        <v>0</v>
      </c>
      <c r="R45" s="51">
        <f t="shared" si="17"/>
        <v>0</v>
      </c>
      <c r="S45" s="51">
        <f t="shared" si="17"/>
        <v>0</v>
      </c>
      <c r="T45" s="51">
        <f t="shared" si="16"/>
        <v>0</v>
      </c>
      <c r="U45" s="51">
        <f t="shared" si="16"/>
        <v>0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 ht="16" customHeight="1">
      <c r="A46" s="110"/>
      <c r="B46" s="50" t="s">
        <v>79</v>
      </c>
      <c r="C46" s="50"/>
      <c r="D46" s="50"/>
      <c r="E46" s="50"/>
      <c r="F46" s="65"/>
      <c r="G46" s="65"/>
      <c r="H46" s="65"/>
      <c r="I46" s="65"/>
      <c r="J46" s="65"/>
      <c r="K46" s="65"/>
      <c r="L46" s="51"/>
      <c r="M46" s="51"/>
      <c r="N46" s="65"/>
      <c r="O46" s="65"/>
      <c r="P46" s="65"/>
      <c r="Q46" s="65"/>
      <c r="R46" s="51"/>
      <c r="S46" s="51"/>
      <c r="T46" s="65"/>
      <c r="U46" s="65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ht="16" customHeight="1">
      <c r="A47" s="110"/>
      <c r="B47" s="50" t="s">
        <v>80</v>
      </c>
      <c r="C47" s="50"/>
      <c r="D47" s="50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29"/>
      <c r="W47" s="29"/>
      <c r="X47" s="29"/>
      <c r="Y47" s="29"/>
      <c r="Z47" s="29"/>
      <c r="AA47" s="29"/>
      <c r="AB47" s="29"/>
      <c r="AC47" s="29"/>
      <c r="AD47" s="29"/>
      <c r="AE47" s="29"/>
    </row>
    <row r="48" spans="1:31" ht="16" customHeight="1">
      <c r="A48" s="110"/>
      <c r="B48" s="50" t="s">
        <v>81</v>
      </c>
      <c r="C48" s="50"/>
      <c r="D48" s="50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29"/>
      <c r="W48" s="29"/>
      <c r="X48" s="29"/>
      <c r="Y48" s="29"/>
      <c r="Z48" s="29"/>
      <c r="AA48" s="29"/>
      <c r="AB48" s="29"/>
      <c r="AC48" s="29"/>
      <c r="AD48" s="29"/>
      <c r="AE48" s="29"/>
    </row>
    <row r="49" spans="1:1" ht="16" customHeight="1">
      <c r="A49" s="8" t="s">
        <v>110</v>
      </c>
    </row>
    <row r="50" spans="1:1" ht="16" customHeight="1">
      <c r="A50" s="8"/>
    </row>
  </sheetData>
  <mergeCells count="40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T30:U30"/>
    <mergeCell ref="F30:G30"/>
    <mergeCell ref="H30:I30"/>
    <mergeCell ref="J30:K30"/>
    <mergeCell ref="L30:M30"/>
    <mergeCell ref="N30:O30"/>
    <mergeCell ref="P30:Q30"/>
    <mergeCell ref="R30:S30"/>
    <mergeCell ref="T25:T26"/>
    <mergeCell ref="U25:U26"/>
    <mergeCell ref="T6:U6"/>
    <mergeCell ref="L6:M6"/>
    <mergeCell ref="J6:K6"/>
    <mergeCell ref="L25:L26"/>
    <mergeCell ref="M25:M26"/>
    <mergeCell ref="N6:O6"/>
    <mergeCell ref="P6:Q6"/>
    <mergeCell ref="R6:S6"/>
    <mergeCell ref="N25:N26"/>
    <mergeCell ref="O25:O26"/>
    <mergeCell ref="P25:P26"/>
    <mergeCell ref="Q25:Q26"/>
    <mergeCell ref="R25:R26"/>
    <mergeCell ref="S25:S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53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Q22" sqref="Q22"/>
      <selection pane="topRight" activeCell="Q22" sqref="Q22"/>
      <selection pane="bottomLeft" activeCell="Q22" sqref="Q22"/>
      <selection pane="bottomRight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6384" width="9" style="2"/>
  </cols>
  <sheetData>
    <row r="1" spans="1:9" ht="34" customHeight="1">
      <c r="A1" s="16" t="s">
        <v>0</v>
      </c>
      <c r="B1" s="16"/>
      <c r="C1" s="16"/>
      <c r="D1" s="16"/>
      <c r="E1" s="84" t="s">
        <v>251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6"/>
      <c r="F7" s="45" t="s">
        <v>235</v>
      </c>
      <c r="G7" s="45"/>
      <c r="H7" s="45" t="s">
        <v>245</v>
      </c>
      <c r="I7" s="66" t="s">
        <v>21</v>
      </c>
    </row>
    <row r="8" spans="1:9" ht="17.149999999999999" customHeight="1">
      <c r="A8" s="18"/>
      <c r="B8" s="19"/>
      <c r="C8" s="19"/>
      <c r="D8" s="19"/>
      <c r="E8" s="57"/>
      <c r="F8" s="48" t="s">
        <v>234</v>
      </c>
      <c r="G8" s="48" t="s">
        <v>2</v>
      </c>
      <c r="H8" s="48" t="s">
        <v>234</v>
      </c>
      <c r="I8" s="49"/>
    </row>
    <row r="9" spans="1:9" ht="18" customHeight="1">
      <c r="A9" s="94" t="s">
        <v>87</v>
      </c>
      <c r="B9" s="94" t="s">
        <v>89</v>
      </c>
      <c r="C9" s="58" t="s">
        <v>3</v>
      </c>
      <c r="D9" s="50"/>
      <c r="E9" s="50"/>
      <c r="F9" s="51">
        <v>818640</v>
      </c>
      <c r="G9" s="52">
        <f>F9/$F$27*100</f>
        <v>33.483509584216975</v>
      </c>
      <c r="H9" s="51">
        <v>805042</v>
      </c>
      <c r="I9" s="52">
        <f t="shared" ref="I9:I45" si="0">(F9/H9-1)*100</f>
        <v>1.6891044193967586</v>
      </c>
    </row>
    <row r="10" spans="1:9" ht="18" customHeight="1">
      <c r="A10" s="94"/>
      <c r="B10" s="94"/>
      <c r="C10" s="60"/>
      <c r="D10" s="58" t="s">
        <v>22</v>
      </c>
      <c r="E10" s="50"/>
      <c r="F10" s="51">
        <v>239711</v>
      </c>
      <c r="G10" s="52">
        <f t="shared" ref="G10:G27" si="1">F10/$F$27*100</f>
        <v>9.804511831748064</v>
      </c>
      <c r="H10" s="51">
        <v>229789</v>
      </c>
      <c r="I10" s="52">
        <f t="shared" si="0"/>
        <v>4.317874223744389</v>
      </c>
    </row>
    <row r="11" spans="1:9" ht="18" customHeight="1">
      <c r="A11" s="94"/>
      <c r="B11" s="94"/>
      <c r="C11" s="60"/>
      <c r="D11" s="60"/>
      <c r="E11" s="44" t="s">
        <v>23</v>
      </c>
      <c r="F11" s="51">
        <v>187580</v>
      </c>
      <c r="G11" s="52">
        <f t="shared" si="1"/>
        <v>7.6722817450984806</v>
      </c>
      <c r="H11" s="51">
        <v>186524</v>
      </c>
      <c r="I11" s="52">
        <f t="shared" si="0"/>
        <v>0.56614698376615813</v>
      </c>
    </row>
    <row r="12" spans="1:9" ht="18" customHeight="1">
      <c r="A12" s="94"/>
      <c r="B12" s="94"/>
      <c r="C12" s="60"/>
      <c r="D12" s="60"/>
      <c r="E12" s="44" t="s">
        <v>24</v>
      </c>
      <c r="F12" s="51">
        <v>14705</v>
      </c>
      <c r="G12" s="52">
        <f t="shared" si="1"/>
        <v>0.60145486225436162</v>
      </c>
      <c r="H12" s="51">
        <v>14353</v>
      </c>
      <c r="I12" s="52">
        <f t="shared" si="0"/>
        <v>2.4524489653730885</v>
      </c>
    </row>
    <row r="13" spans="1:9" ht="18" customHeight="1">
      <c r="A13" s="94"/>
      <c r="B13" s="94"/>
      <c r="C13" s="60"/>
      <c r="D13" s="59"/>
      <c r="E13" s="44" t="s">
        <v>25</v>
      </c>
      <c r="F13" s="51">
        <v>781</v>
      </c>
      <c r="G13" s="52">
        <f t="shared" si="1"/>
        <v>3.1943981463492449E-2</v>
      </c>
      <c r="H13" s="51">
        <v>804</v>
      </c>
      <c r="I13" s="52">
        <f t="shared" si="0"/>
        <v>-2.8606965174129306</v>
      </c>
    </row>
    <row r="14" spans="1:9" ht="18" customHeight="1">
      <c r="A14" s="94"/>
      <c r="B14" s="94"/>
      <c r="C14" s="60"/>
      <c r="D14" s="58" t="s">
        <v>26</v>
      </c>
      <c r="E14" s="50"/>
      <c r="F14" s="51">
        <v>186720</v>
      </c>
      <c r="G14" s="52">
        <f t="shared" si="1"/>
        <v>7.6371065542423944</v>
      </c>
      <c r="H14" s="51">
        <v>181257</v>
      </c>
      <c r="I14" s="52">
        <f t="shared" si="0"/>
        <v>3.0139525645906051</v>
      </c>
    </row>
    <row r="15" spans="1:9" ht="18" customHeight="1">
      <c r="A15" s="94"/>
      <c r="B15" s="94"/>
      <c r="C15" s="60"/>
      <c r="D15" s="60"/>
      <c r="E15" s="44" t="s">
        <v>27</v>
      </c>
      <c r="F15" s="51">
        <v>8180</v>
      </c>
      <c r="G15" s="52">
        <f t="shared" si="1"/>
        <v>0.33457332697998493</v>
      </c>
      <c r="H15" s="51">
        <v>9618</v>
      </c>
      <c r="I15" s="52">
        <f t="shared" si="0"/>
        <v>-14.951133291744645</v>
      </c>
    </row>
    <row r="16" spans="1:9" ht="18" customHeight="1">
      <c r="A16" s="94"/>
      <c r="B16" s="94"/>
      <c r="C16" s="60"/>
      <c r="D16" s="59"/>
      <c r="E16" s="44" t="s">
        <v>28</v>
      </c>
      <c r="F16" s="51">
        <v>178540</v>
      </c>
      <c r="G16" s="52">
        <f t="shared" si="1"/>
        <v>7.3025332272624084</v>
      </c>
      <c r="H16" s="51">
        <v>171639</v>
      </c>
      <c r="I16" s="52">
        <f t="shared" si="0"/>
        <v>4.0206479879281609</v>
      </c>
    </row>
    <row r="17" spans="1:9" ht="18" customHeight="1">
      <c r="A17" s="94"/>
      <c r="B17" s="94"/>
      <c r="C17" s="60"/>
      <c r="D17" s="95" t="s">
        <v>29</v>
      </c>
      <c r="E17" s="96"/>
      <c r="F17" s="51">
        <v>258682</v>
      </c>
      <c r="G17" s="52">
        <f t="shared" si="1"/>
        <v>10.580452001202501</v>
      </c>
      <c r="H17" s="51">
        <v>261796</v>
      </c>
      <c r="I17" s="52">
        <f t="shared" si="0"/>
        <v>-1.1894757750309348</v>
      </c>
    </row>
    <row r="18" spans="1:9" ht="18" customHeight="1">
      <c r="A18" s="94"/>
      <c r="B18" s="94"/>
      <c r="C18" s="60"/>
      <c r="D18" s="95" t="s">
        <v>93</v>
      </c>
      <c r="E18" s="97"/>
      <c r="F18" s="51">
        <v>18208</v>
      </c>
      <c r="G18" s="52">
        <f t="shared" si="1"/>
        <v>0.74473241291583925</v>
      </c>
      <c r="H18" s="51">
        <v>17100</v>
      </c>
      <c r="I18" s="52">
        <f t="shared" si="0"/>
        <v>6.479532163742685</v>
      </c>
    </row>
    <row r="19" spans="1:9" ht="18" customHeight="1">
      <c r="A19" s="94"/>
      <c r="B19" s="94"/>
      <c r="C19" s="59"/>
      <c r="D19" s="95" t="s">
        <v>94</v>
      </c>
      <c r="E19" s="97"/>
      <c r="F19" s="51">
        <v>0</v>
      </c>
      <c r="G19" s="52">
        <f t="shared" si="1"/>
        <v>0</v>
      </c>
      <c r="H19" s="51">
        <v>0</v>
      </c>
      <c r="I19" s="52" t="e">
        <f t="shared" si="0"/>
        <v>#DIV/0!</v>
      </c>
    </row>
    <row r="20" spans="1:9" ht="18" customHeight="1">
      <c r="A20" s="94"/>
      <c r="B20" s="94"/>
      <c r="C20" s="50" t="s">
        <v>4</v>
      </c>
      <c r="D20" s="50"/>
      <c r="E20" s="50"/>
      <c r="F20" s="51">
        <v>107726</v>
      </c>
      <c r="G20" s="52">
        <f t="shared" si="1"/>
        <v>4.4061425699567058</v>
      </c>
      <c r="H20" s="51">
        <v>107220</v>
      </c>
      <c r="I20" s="52">
        <f t="shared" si="0"/>
        <v>0.47192687931356669</v>
      </c>
    </row>
    <row r="21" spans="1:9" ht="18" customHeight="1">
      <c r="A21" s="94"/>
      <c r="B21" s="94"/>
      <c r="C21" s="50" t="s">
        <v>5</v>
      </c>
      <c r="D21" s="50"/>
      <c r="E21" s="50"/>
      <c r="F21" s="51">
        <v>363574</v>
      </c>
      <c r="G21" s="52">
        <f t="shared" si="1"/>
        <v>14.870680046872986</v>
      </c>
      <c r="H21" s="51">
        <v>350363</v>
      </c>
      <c r="I21" s="52">
        <f t="shared" si="0"/>
        <v>3.7706607147444116</v>
      </c>
    </row>
    <row r="22" spans="1:9" ht="18" customHeight="1">
      <c r="A22" s="94"/>
      <c r="B22" s="94"/>
      <c r="C22" s="50" t="s">
        <v>30</v>
      </c>
      <c r="D22" s="50"/>
      <c r="E22" s="50"/>
      <c r="F22" s="51">
        <v>31547</v>
      </c>
      <c r="G22" s="52">
        <f t="shared" si="1"/>
        <v>1.2903159836476263</v>
      </c>
      <c r="H22" s="51">
        <v>31784</v>
      </c>
      <c r="I22" s="52">
        <f t="shared" si="0"/>
        <v>-0.74565819280141277</v>
      </c>
    </row>
    <row r="23" spans="1:9" ht="18" customHeight="1">
      <c r="A23" s="94"/>
      <c r="B23" s="94"/>
      <c r="C23" s="50" t="s">
        <v>6</v>
      </c>
      <c r="D23" s="50"/>
      <c r="E23" s="50"/>
      <c r="F23" s="51">
        <v>241737</v>
      </c>
      <c r="G23" s="52">
        <f t="shared" si="1"/>
        <v>9.8873780371834492</v>
      </c>
      <c r="H23" s="51">
        <v>437132</v>
      </c>
      <c r="I23" s="52">
        <f t="shared" si="0"/>
        <v>-44.699312793389645</v>
      </c>
    </row>
    <row r="24" spans="1:9" ht="18" customHeight="1">
      <c r="A24" s="94"/>
      <c r="B24" s="94"/>
      <c r="C24" s="50" t="s">
        <v>31</v>
      </c>
      <c r="D24" s="50"/>
      <c r="E24" s="50"/>
      <c r="F24" s="51">
        <v>3671</v>
      </c>
      <c r="G24" s="52">
        <f t="shared" si="1"/>
        <v>0.15014898329382939</v>
      </c>
      <c r="H24" s="51">
        <v>7006</v>
      </c>
      <c r="I24" s="52">
        <f t="shared" si="0"/>
        <v>-47.602055381101913</v>
      </c>
    </row>
    <row r="25" spans="1:9" ht="18" customHeight="1">
      <c r="A25" s="94"/>
      <c r="B25" s="94"/>
      <c r="C25" s="50" t="s">
        <v>7</v>
      </c>
      <c r="D25" s="50"/>
      <c r="E25" s="50"/>
      <c r="F25" s="51">
        <v>160280</v>
      </c>
      <c r="G25" s="52">
        <f t="shared" si="1"/>
        <v>6.5556739423413184</v>
      </c>
      <c r="H25" s="51">
        <v>193054</v>
      </c>
      <c r="I25" s="52">
        <f t="shared" si="0"/>
        <v>-16.976597221502786</v>
      </c>
    </row>
    <row r="26" spans="1:9" ht="18" customHeight="1">
      <c r="A26" s="94"/>
      <c r="B26" s="94"/>
      <c r="C26" s="50" t="s">
        <v>8</v>
      </c>
      <c r="D26" s="50"/>
      <c r="E26" s="50"/>
      <c r="F26" s="51">
        <v>717730</v>
      </c>
      <c r="G26" s="52">
        <f t="shared" si="1"/>
        <v>29.356150852487112</v>
      </c>
      <c r="H26" s="51">
        <v>751581</v>
      </c>
      <c r="I26" s="52">
        <f t="shared" si="0"/>
        <v>-4.5039722930728665</v>
      </c>
    </row>
    <row r="27" spans="1:9" ht="18" customHeight="1">
      <c r="A27" s="94"/>
      <c r="B27" s="94"/>
      <c r="C27" s="50" t="s">
        <v>9</v>
      </c>
      <c r="D27" s="50"/>
      <c r="E27" s="50"/>
      <c r="F27" s="51">
        <f>SUM(F9,F20:F26)</f>
        <v>2444905</v>
      </c>
      <c r="G27" s="52">
        <f t="shared" si="1"/>
        <v>100</v>
      </c>
      <c r="H27" s="51">
        <v>2683182</v>
      </c>
      <c r="I27" s="52">
        <f t="shared" si="0"/>
        <v>-8.8803890306360156</v>
      </c>
    </row>
    <row r="28" spans="1:9" ht="18" customHeight="1">
      <c r="A28" s="94"/>
      <c r="B28" s="94" t="s">
        <v>88</v>
      </c>
      <c r="C28" s="58" t="s">
        <v>10</v>
      </c>
      <c r="D28" s="50"/>
      <c r="E28" s="50"/>
      <c r="F28" s="51">
        <f>SUM(F29:F31)</f>
        <v>838885</v>
      </c>
      <c r="G28" s="52">
        <f t="shared" ref="G28:G45" si="2">F28/$F$45*100</f>
        <v>34.698435874580433</v>
      </c>
      <c r="H28" s="51">
        <v>840495</v>
      </c>
      <c r="I28" s="52">
        <f t="shared" si="0"/>
        <v>-0.19155378675661527</v>
      </c>
    </row>
    <row r="29" spans="1:9" ht="18" customHeight="1">
      <c r="A29" s="94"/>
      <c r="B29" s="94"/>
      <c r="C29" s="60"/>
      <c r="D29" s="50" t="s">
        <v>11</v>
      </c>
      <c r="E29" s="50"/>
      <c r="F29" s="51">
        <v>443399</v>
      </c>
      <c r="G29" s="52">
        <f t="shared" si="2"/>
        <v>18.340120240978308</v>
      </c>
      <c r="H29" s="51">
        <v>456277</v>
      </c>
      <c r="I29" s="52">
        <f t="shared" si="0"/>
        <v>-2.8224083177543435</v>
      </c>
    </row>
    <row r="30" spans="1:9" ht="18" customHeight="1">
      <c r="A30" s="94"/>
      <c r="B30" s="94"/>
      <c r="C30" s="60"/>
      <c r="D30" s="50" t="s">
        <v>32</v>
      </c>
      <c r="E30" s="50"/>
      <c r="F30" s="51">
        <v>35915</v>
      </c>
      <c r="G30" s="52">
        <f t="shared" si="2"/>
        <v>1.4855365448608044</v>
      </c>
      <c r="H30" s="51">
        <v>39547</v>
      </c>
      <c r="I30" s="52">
        <f t="shared" si="0"/>
        <v>-9.1840089008015759</v>
      </c>
    </row>
    <row r="31" spans="1:9" ht="18" customHeight="1">
      <c r="A31" s="94"/>
      <c r="B31" s="94"/>
      <c r="C31" s="59"/>
      <c r="D31" s="50" t="s">
        <v>12</v>
      </c>
      <c r="E31" s="50"/>
      <c r="F31" s="51">
        <v>359571</v>
      </c>
      <c r="G31" s="52">
        <f t="shared" si="2"/>
        <v>14.872779088741318</v>
      </c>
      <c r="H31" s="51">
        <v>344671</v>
      </c>
      <c r="I31" s="52">
        <f t="shared" si="0"/>
        <v>4.3229630575244204</v>
      </c>
    </row>
    <row r="32" spans="1:9" ht="18" customHeight="1">
      <c r="A32" s="94"/>
      <c r="B32" s="94"/>
      <c r="C32" s="58" t="s">
        <v>13</v>
      </c>
      <c r="D32" s="50"/>
      <c r="E32" s="50"/>
      <c r="F32" s="51">
        <f>SUM(F33:F38)</f>
        <v>1337790</v>
      </c>
      <c r="G32" s="52">
        <f t="shared" si="2"/>
        <v>55.334426683818336</v>
      </c>
      <c r="H32" s="51">
        <v>1539980</v>
      </c>
      <c r="I32" s="52">
        <f t="shared" si="0"/>
        <v>-13.129391290795988</v>
      </c>
    </row>
    <row r="33" spans="1:9" ht="18" customHeight="1">
      <c r="A33" s="94"/>
      <c r="B33" s="94"/>
      <c r="C33" s="60"/>
      <c r="D33" s="50" t="s">
        <v>14</v>
      </c>
      <c r="E33" s="50"/>
      <c r="F33" s="51">
        <v>50514</v>
      </c>
      <c r="G33" s="52">
        <f t="shared" si="2"/>
        <v>2.0893886405985991</v>
      </c>
      <c r="H33" s="51">
        <v>72955</v>
      </c>
      <c r="I33" s="52">
        <f t="shared" si="0"/>
        <v>-30.760057569734766</v>
      </c>
    </row>
    <row r="34" spans="1:9" ht="18" customHeight="1">
      <c r="A34" s="94"/>
      <c r="B34" s="94"/>
      <c r="C34" s="60"/>
      <c r="D34" s="50" t="s">
        <v>33</v>
      </c>
      <c r="E34" s="50"/>
      <c r="F34" s="51">
        <v>10716</v>
      </c>
      <c r="G34" s="52">
        <f t="shared" si="2"/>
        <v>0.44324125336846393</v>
      </c>
      <c r="H34" s="51">
        <v>10401</v>
      </c>
      <c r="I34" s="52">
        <f t="shared" si="0"/>
        <v>3.0285549466397388</v>
      </c>
    </row>
    <row r="35" spans="1:9" ht="18" customHeight="1">
      <c r="A35" s="94"/>
      <c r="B35" s="94"/>
      <c r="C35" s="60"/>
      <c r="D35" s="50" t="s">
        <v>34</v>
      </c>
      <c r="E35" s="50"/>
      <c r="F35" s="51">
        <v>668387</v>
      </c>
      <c r="G35" s="52">
        <f t="shared" si="2"/>
        <v>27.646201158565464</v>
      </c>
      <c r="H35" s="51">
        <v>804854</v>
      </c>
      <c r="I35" s="52">
        <f t="shared" si="0"/>
        <v>-16.955497518804652</v>
      </c>
    </row>
    <row r="36" spans="1:9" ht="18" customHeight="1">
      <c r="A36" s="94"/>
      <c r="B36" s="94"/>
      <c r="C36" s="60"/>
      <c r="D36" s="50" t="s">
        <v>35</v>
      </c>
      <c r="E36" s="50"/>
      <c r="F36" s="51">
        <v>31083</v>
      </c>
      <c r="G36" s="52">
        <f t="shared" si="2"/>
        <v>1.2856726277017509</v>
      </c>
      <c r="H36" s="51">
        <v>31639</v>
      </c>
      <c r="I36" s="52">
        <f t="shared" si="0"/>
        <v>-1.7573248206327663</v>
      </c>
    </row>
    <row r="37" spans="1:9" ht="18" customHeight="1">
      <c r="A37" s="94"/>
      <c r="B37" s="94"/>
      <c r="C37" s="60"/>
      <c r="D37" s="50" t="s">
        <v>15</v>
      </c>
      <c r="E37" s="50"/>
      <c r="F37" s="51">
        <v>47704</v>
      </c>
      <c r="G37" s="52">
        <f t="shared" si="2"/>
        <v>1.973159831158007</v>
      </c>
      <c r="H37" s="51">
        <v>127623</v>
      </c>
      <c r="I37" s="52">
        <f t="shared" si="0"/>
        <v>-62.621157628327182</v>
      </c>
    </row>
    <row r="38" spans="1:9" ht="18" customHeight="1">
      <c r="A38" s="94"/>
      <c r="B38" s="94"/>
      <c r="C38" s="59"/>
      <c r="D38" s="50" t="s">
        <v>36</v>
      </c>
      <c r="E38" s="50"/>
      <c r="F38" s="51">
        <v>529386</v>
      </c>
      <c r="G38" s="52">
        <f t="shared" si="2"/>
        <v>21.896763172426059</v>
      </c>
      <c r="H38" s="51">
        <v>492508</v>
      </c>
      <c r="I38" s="52">
        <f t="shared" si="0"/>
        <v>7.4877971525335596</v>
      </c>
    </row>
    <row r="39" spans="1:9" ht="18" customHeight="1">
      <c r="A39" s="94"/>
      <c r="B39" s="94"/>
      <c r="C39" s="58" t="s">
        <v>16</v>
      </c>
      <c r="D39" s="50"/>
      <c r="E39" s="50"/>
      <c r="F39" s="51">
        <f>+F40+F43</f>
        <v>240970</v>
      </c>
      <c r="G39" s="52">
        <f t="shared" si="2"/>
        <v>9.9671374416012277</v>
      </c>
      <c r="H39" s="51">
        <v>267698</v>
      </c>
      <c r="I39" s="52">
        <f t="shared" si="0"/>
        <v>-9.9843853895060892</v>
      </c>
    </row>
    <row r="40" spans="1:9" ht="18" customHeight="1">
      <c r="A40" s="94"/>
      <c r="B40" s="94"/>
      <c r="C40" s="60"/>
      <c r="D40" s="58" t="s">
        <v>17</v>
      </c>
      <c r="E40" s="50"/>
      <c r="F40" s="51">
        <v>238164</v>
      </c>
      <c r="G40" s="52">
        <f t="shared" si="2"/>
        <v>9.8510740824231853</v>
      </c>
      <c r="H40" s="51">
        <v>266976</v>
      </c>
      <c r="I40" s="52">
        <f t="shared" si="0"/>
        <v>-10.791981301690035</v>
      </c>
    </row>
    <row r="41" spans="1:9" ht="18" customHeight="1">
      <c r="A41" s="94"/>
      <c r="B41" s="94"/>
      <c r="C41" s="60"/>
      <c r="D41" s="60"/>
      <c r="E41" s="54" t="s">
        <v>91</v>
      </c>
      <c r="F41" s="51">
        <v>159926</v>
      </c>
      <c r="G41" s="52">
        <f t="shared" si="2"/>
        <v>6.6149496720982608</v>
      </c>
      <c r="H41" s="51">
        <v>178312</v>
      </c>
      <c r="I41" s="55">
        <f t="shared" si="0"/>
        <v>-10.311140024227194</v>
      </c>
    </row>
    <row r="42" spans="1:9" ht="18" customHeight="1">
      <c r="A42" s="94"/>
      <c r="B42" s="94"/>
      <c r="C42" s="60"/>
      <c r="D42" s="59"/>
      <c r="E42" s="44" t="s">
        <v>37</v>
      </c>
      <c r="F42" s="51">
        <v>78238</v>
      </c>
      <c r="G42" s="52">
        <f t="shared" si="2"/>
        <v>3.2361244103249232</v>
      </c>
      <c r="H42" s="51">
        <v>88664</v>
      </c>
      <c r="I42" s="55">
        <f t="shared" si="0"/>
        <v>-11.759000270684828</v>
      </c>
    </row>
    <row r="43" spans="1:9" ht="18" customHeight="1">
      <c r="A43" s="94"/>
      <c r="B43" s="94"/>
      <c r="C43" s="60"/>
      <c r="D43" s="50" t="s">
        <v>38</v>
      </c>
      <c r="E43" s="50"/>
      <c r="F43" s="51">
        <v>2806</v>
      </c>
      <c r="G43" s="52">
        <f t="shared" si="2"/>
        <v>0.1160633591780431</v>
      </c>
      <c r="H43" s="51">
        <v>722</v>
      </c>
      <c r="I43" s="55">
        <f t="shared" si="0"/>
        <v>288.6426592797784</v>
      </c>
    </row>
    <row r="44" spans="1:9" ht="18" customHeight="1">
      <c r="A44" s="94"/>
      <c r="B44" s="94"/>
      <c r="C44" s="59"/>
      <c r="D44" s="50" t="s">
        <v>39</v>
      </c>
      <c r="E44" s="50"/>
      <c r="F44" s="52">
        <f>E44/$F$45*100</f>
        <v>0</v>
      </c>
      <c r="G44" s="52">
        <f t="shared" si="2"/>
        <v>0</v>
      </c>
      <c r="H44" s="51">
        <v>0</v>
      </c>
      <c r="I44" s="52" t="e">
        <f t="shared" si="0"/>
        <v>#DIV/0!</v>
      </c>
    </row>
    <row r="45" spans="1:9" ht="18" customHeight="1">
      <c r="A45" s="94"/>
      <c r="B45" s="94"/>
      <c r="C45" s="44" t="s">
        <v>18</v>
      </c>
      <c r="D45" s="44"/>
      <c r="E45" s="44"/>
      <c r="F45" s="51">
        <f>SUM(F28,F32,F39)</f>
        <v>2417645</v>
      </c>
      <c r="G45" s="52">
        <f t="shared" si="2"/>
        <v>100</v>
      </c>
      <c r="H45" s="51">
        <v>2648173</v>
      </c>
      <c r="I45" s="52">
        <f t="shared" si="0"/>
        <v>-8.7051714521672157</v>
      </c>
    </row>
    <row r="46" spans="1:9">
      <c r="A46" s="21" t="s">
        <v>19</v>
      </c>
    </row>
    <row r="47" spans="1:9">
      <c r="A47" s="22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J25" sqref="J25"/>
      <selection pane="topRight" activeCell="J25" sqref="J25"/>
      <selection pane="bottomLeft" activeCell="J25" sqref="J25"/>
      <selection pane="bottomRight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1" t="s">
        <v>0</v>
      </c>
      <c r="B1" s="31"/>
      <c r="C1" s="84" t="s">
        <v>251</v>
      </c>
      <c r="D1" s="32"/>
      <c r="E1" s="32"/>
    </row>
    <row r="4" spans="1:9">
      <c r="A4" s="33" t="s">
        <v>112</v>
      </c>
    </row>
    <row r="5" spans="1:9">
      <c r="I5" s="9" t="s">
        <v>113</v>
      </c>
    </row>
    <row r="6" spans="1:9" s="35" customFormat="1" ht="29.25" customHeight="1">
      <c r="A6" s="47" t="s">
        <v>114</v>
      </c>
      <c r="B6" s="45"/>
      <c r="C6" s="45"/>
      <c r="D6" s="45"/>
      <c r="E6" s="34" t="s">
        <v>231</v>
      </c>
      <c r="F6" s="34" t="s">
        <v>232</v>
      </c>
      <c r="G6" s="34" t="s">
        <v>237</v>
      </c>
      <c r="H6" s="34" t="s">
        <v>239</v>
      </c>
      <c r="I6" s="34" t="s">
        <v>249</v>
      </c>
    </row>
    <row r="7" spans="1:9" ht="27" customHeight="1">
      <c r="A7" s="94" t="s">
        <v>115</v>
      </c>
      <c r="B7" s="58" t="s">
        <v>116</v>
      </c>
      <c r="C7" s="50"/>
      <c r="D7" s="63" t="s">
        <v>117</v>
      </c>
      <c r="E7" s="67">
        <v>1843318</v>
      </c>
      <c r="F7" s="34">
        <v>2623291</v>
      </c>
      <c r="G7" s="34">
        <v>3214216</v>
      </c>
      <c r="H7" s="34">
        <v>2683182</v>
      </c>
      <c r="I7" s="34">
        <v>2444905</v>
      </c>
    </row>
    <row r="8" spans="1:9" ht="27" customHeight="1">
      <c r="A8" s="94"/>
      <c r="B8" s="77"/>
      <c r="C8" s="50" t="s">
        <v>118</v>
      </c>
      <c r="D8" s="63" t="s">
        <v>41</v>
      </c>
      <c r="E8" s="68">
        <v>1099481</v>
      </c>
      <c r="F8" s="68">
        <v>1253965</v>
      </c>
      <c r="G8" s="68">
        <v>1253965</v>
      </c>
      <c r="H8" s="68">
        <v>1265917</v>
      </c>
      <c r="I8" s="69">
        <v>1293001</v>
      </c>
    </row>
    <row r="9" spans="1:9" ht="27" customHeight="1">
      <c r="A9" s="94"/>
      <c r="B9" s="50" t="s">
        <v>119</v>
      </c>
      <c r="C9" s="50"/>
      <c r="D9" s="63"/>
      <c r="E9" s="68">
        <v>1835300</v>
      </c>
      <c r="F9" s="68">
        <v>2607434</v>
      </c>
      <c r="G9" s="68">
        <v>3178512</v>
      </c>
      <c r="H9" s="68">
        <v>2648173</v>
      </c>
      <c r="I9" s="70">
        <v>2417645</v>
      </c>
    </row>
    <row r="10" spans="1:9" ht="27" customHeight="1">
      <c r="A10" s="94"/>
      <c r="B10" s="50" t="s">
        <v>120</v>
      </c>
      <c r="C10" s="50"/>
      <c r="D10" s="63"/>
      <c r="E10" s="68">
        <v>8018</v>
      </c>
      <c r="F10" s="68">
        <v>15857</v>
      </c>
      <c r="G10" s="68">
        <v>35703</v>
      </c>
      <c r="H10" s="68">
        <v>35009</v>
      </c>
      <c r="I10" s="70">
        <v>27260</v>
      </c>
    </row>
    <row r="11" spans="1:9" ht="27" customHeight="1">
      <c r="A11" s="94"/>
      <c r="B11" s="50" t="s">
        <v>121</v>
      </c>
      <c r="C11" s="50"/>
      <c r="D11" s="63"/>
      <c r="E11" s="68">
        <v>7931</v>
      </c>
      <c r="F11" s="68">
        <v>12852</v>
      </c>
      <c r="G11" s="68">
        <v>13845</v>
      </c>
      <c r="H11" s="68">
        <v>11036</v>
      </c>
      <c r="I11" s="70">
        <v>13109</v>
      </c>
    </row>
    <row r="12" spans="1:9" ht="27" customHeight="1">
      <c r="A12" s="94"/>
      <c r="B12" s="50" t="s">
        <v>122</v>
      </c>
      <c r="C12" s="50"/>
      <c r="D12" s="63"/>
      <c r="E12" s="68">
        <v>87</v>
      </c>
      <c r="F12" s="68">
        <v>3005</v>
      </c>
      <c r="G12" s="68">
        <v>21858.276000000002</v>
      </c>
      <c r="H12" s="68">
        <v>23973</v>
      </c>
      <c r="I12" s="70">
        <v>14151</v>
      </c>
    </row>
    <row r="13" spans="1:9" ht="27" customHeight="1">
      <c r="A13" s="94"/>
      <c r="B13" s="50" t="s">
        <v>123</v>
      </c>
      <c r="C13" s="50"/>
      <c r="D13" s="63"/>
      <c r="E13" s="68">
        <v>-1104</v>
      </c>
      <c r="F13" s="68">
        <v>2918</v>
      </c>
      <c r="G13" s="68">
        <v>18853</v>
      </c>
      <c r="H13" s="68">
        <v>2115</v>
      </c>
      <c r="I13" s="70">
        <v>-9822</v>
      </c>
    </row>
    <row r="14" spans="1:9" ht="27" customHeight="1">
      <c r="A14" s="94"/>
      <c r="B14" s="50" t="s">
        <v>124</v>
      </c>
      <c r="C14" s="50"/>
      <c r="D14" s="63"/>
      <c r="E14" s="68">
        <v>0</v>
      </c>
      <c r="F14" s="68">
        <v>30200</v>
      </c>
      <c r="G14" s="68">
        <v>32300</v>
      </c>
      <c r="H14" s="68">
        <v>0</v>
      </c>
      <c r="I14" s="70">
        <v>0</v>
      </c>
    </row>
    <row r="15" spans="1:9" ht="27" customHeight="1">
      <c r="A15" s="94"/>
      <c r="B15" s="50" t="s">
        <v>125</v>
      </c>
      <c r="C15" s="50"/>
      <c r="D15" s="63"/>
      <c r="E15" s="68">
        <v>-768</v>
      </c>
      <c r="F15" s="68">
        <v>33132</v>
      </c>
      <c r="G15" s="68">
        <v>51166</v>
      </c>
      <c r="H15" s="68">
        <v>5531</v>
      </c>
      <c r="I15" s="70">
        <v>7871</v>
      </c>
    </row>
    <row r="16" spans="1:9" ht="27" customHeight="1">
      <c r="A16" s="94"/>
      <c r="B16" s="50" t="s">
        <v>126</v>
      </c>
      <c r="C16" s="50"/>
      <c r="D16" s="63" t="s">
        <v>42</v>
      </c>
      <c r="E16" s="68">
        <v>43060</v>
      </c>
      <c r="F16" s="68">
        <v>46946</v>
      </c>
      <c r="G16" s="68">
        <v>46985</v>
      </c>
      <c r="H16" s="68">
        <v>104887</v>
      </c>
      <c r="I16" s="70">
        <v>131909</v>
      </c>
    </row>
    <row r="17" spans="1:9" ht="27" customHeight="1">
      <c r="A17" s="94"/>
      <c r="B17" s="50" t="s">
        <v>127</v>
      </c>
      <c r="C17" s="50"/>
      <c r="D17" s="63" t="s">
        <v>43</v>
      </c>
      <c r="E17" s="68">
        <v>121355</v>
      </c>
      <c r="F17" s="68">
        <v>115823</v>
      </c>
      <c r="G17" s="68">
        <v>123174</v>
      </c>
      <c r="H17" s="68">
        <v>98046</v>
      </c>
      <c r="I17" s="70">
        <v>118752</v>
      </c>
    </row>
    <row r="18" spans="1:9" ht="27" customHeight="1">
      <c r="A18" s="94"/>
      <c r="B18" s="50" t="s">
        <v>128</v>
      </c>
      <c r="C18" s="50"/>
      <c r="D18" s="63" t="s">
        <v>44</v>
      </c>
      <c r="E18" s="68">
        <v>4462667</v>
      </c>
      <c r="F18" s="68">
        <v>4438027</v>
      </c>
      <c r="G18" s="68">
        <v>4420831</v>
      </c>
      <c r="H18" s="68">
        <v>4382558</v>
      </c>
      <c r="I18" s="70">
        <v>4304316</v>
      </c>
    </row>
    <row r="19" spans="1:9" ht="27" customHeight="1">
      <c r="A19" s="94"/>
      <c r="B19" s="50" t="s">
        <v>129</v>
      </c>
      <c r="C19" s="50"/>
      <c r="D19" s="63" t="s">
        <v>130</v>
      </c>
      <c r="E19" s="68">
        <v>4540962</v>
      </c>
      <c r="F19" s="68">
        <v>4506904</v>
      </c>
      <c r="G19" s="68">
        <v>4497020</v>
      </c>
      <c r="H19" s="68">
        <v>4375717</v>
      </c>
      <c r="I19" s="68">
        <f>I17+I18-I16</f>
        <v>4291159</v>
      </c>
    </row>
    <row r="20" spans="1:9" ht="27" customHeight="1">
      <c r="A20" s="94"/>
      <c r="B20" s="50" t="s">
        <v>131</v>
      </c>
      <c r="C20" s="50"/>
      <c r="D20" s="63" t="s">
        <v>132</v>
      </c>
      <c r="E20" s="71">
        <v>4.0588850557672211</v>
      </c>
      <c r="F20" s="71">
        <v>3.5391952725953275</v>
      </c>
      <c r="G20" s="71">
        <v>3.5254819711873937</v>
      </c>
      <c r="H20" s="71">
        <v>3.4619631460830371</v>
      </c>
      <c r="I20" s="71">
        <f>I18/I8</f>
        <v>3.3289347804062022</v>
      </c>
    </row>
    <row r="21" spans="1:9" ht="27" customHeight="1">
      <c r="A21" s="94"/>
      <c r="B21" s="50" t="s">
        <v>133</v>
      </c>
      <c r="C21" s="50"/>
      <c r="D21" s="63" t="s">
        <v>134</v>
      </c>
      <c r="E21" s="71">
        <v>4.1300959270783215</v>
      </c>
      <c r="F21" s="71">
        <v>3.5941226429764788</v>
      </c>
      <c r="G21" s="71">
        <v>3.5862404453074848</v>
      </c>
      <c r="H21" s="71">
        <v>3.4565591583018476</v>
      </c>
      <c r="I21" s="71">
        <f>I19/I8</f>
        <v>3.3187592275644024</v>
      </c>
    </row>
    <row r="22" spans="1:9" ht="27" customHeight="1">
      <c r="A22" s="94"/>
      <c r="B22" s="50" t="s">
        <v>135</v>
      </c>
      <c r="C22" s="50"/>
      <c r="D22" s="63" t="s">
        <v>136</v>
      </c>
      <c r="E22" s="68" t="e">
        <v>#DIV/0!</v>
      </c>
      <c r="F22" s="68" t="e">
        <v>#DIV/0!</v>
      </c>
      <c r="G22" s="68" t="e">
        <v>#DIV/0!</v>
      </c>
      <c r="H22" s="68" t="e">
        <v>#DIV/0!</v>
      </c>
      <c r="I22" s="68" t="e">
        <f>I18/I24*1000000</f>
        <v>#DIV/0!</v>
      </c>
    </row>
    <row r="23" spans="1:9" ht="27" customHeight="1">
      <c r="A23" s="94"/>
      <c r="B23" s="50" t="s">
        <v>137</v>
      </c>
      <c r="C23" s="50"/>
      <c r="D23" s="63" t="s">
        <v>138</v>
      </c>
      <c r="E23" s="68" t="e">
        <v>#DIV/0!</v>
      </c>
      <c r="F23" s="68" t="e">
        <v>#DIV/0!</v>
      </c>
      <c r="G23" s="68" t="e">
        <v>#DIV/0!</v>
      </c>
      <c r="H23" s="68" t="e">
        <v>#DIV/0!</v>
      </c>
      <c r="I23" s="68" t="e">
        <f>I19/I24*1000000</f>
        <v>#DIV/0!</v>
      </c>
    </row>
    <row r="24" spans="1:9" ht="27" customHeight="1">
      <c r="A24" s="94"/>
      <c r="B24" s="72" t="s">
        <v>139</v>
      </c>
      <c r="C24" s="73"/>
      <c r="D24" s="63" t="s">
        <v>140</v>
      </c>
      <c r="E24" s="68">
        <v>0</v>
      </c>
      <c r="F24" s="68">
        <v>0</v>
      </c>
      <c r="G24" s="68">
        <v>0</v>
      </c>
      <c r="H24" s="70">
        <v>0</v>
      </c>
      <c r="I24" s="70">
        <v>0</v>
      </c>
    </row>
    <row r="25" spans="1:9" ht="27" customHeight="1">
      <c r="A25" s="94"/>
      <c r="B25" s="44" t="s">
        <v>141</v>
      </c>
      <c r="C25" s="44"/>
      <c r="D25" s="44"/>
      <c r="E25" s="68">
        <v>1059211</v>
      </c>
      <c r="F25" s="68">
        <v>1071498</v>
      </c>
      <c r="G25" s="68">
        <v>1126666.3160000001</v>
      </c>
      <c r="H25" s="68">
        <v>1101386</v>
      </c>
      <c r="I25" s="51">
        <v>1121333</v>
      </c>
    </row>
    <row r="26" spans="1:9" ht="27" customHeight="1">
      <c r="A26" s="94"/>
      <c r="B26" s="44" t="s">
        <v>142</v>
      </c>
      <c r="C26" s="44"/>
      <c r="D26" s="44"/>
      <c r="E26" s="74">
        <v>0.64481999999999995</v>
      </c>
      <c r="F26" s="74">
        <v>0.64900000000000002</v>
      </c>
      <c r="G26" s="74">
        <v>0.623</v>
      </c>
      <c r="H26" s="74">
        <v>0.61216999999999999</v>
      </c>
      <c r="I26" s="75">
        <v>0.60299999999999998</v>
      </c>
    </row>
    <row r="27" spans="1:9" ht="27" customHeight="1">
      <c r="A27" s="94"/>
      <c r="B27" s="44" t="s">
        <v>143</v>
      </c>
      <c r="C27" s="44"/>
      <c r="D27" s="44"/>
      <c r="E27" s="55">
        <f t="shared" ref="E27:H27" si="0">+E12/E25*100</f>
        <v>8.213660923083314E-3</v>
      </c>
      <c r="F27" s="55">
        <f t="shared" si="0"/>
        <v>0.28044849360428115</v>
      </c>
      <c r="G27" s="55">
        <f t="shared" si="0"/>
        <v>1.9400842724759333</v>
      </c>
      <c r="H27" s="55">
        <f t="shared" si="0"/>
        <v>2.1766210937854669</v>
      </c>
      <c r="I27" s="52">
        <f>+I12/I25*100</f>
        <v>1.2619801611118195</v>
      </c>
    </row>
    <row r="28" spans="1:9" ht="27" customHeight="1">
      <c r="A28" s="94"/>
      <c r="B28" s="44" t="s">
        <v>144</v>
      </c>
      <c r="C28" s="44"/>
      <c r="D28" s="44"/>
      <c r="E28" s="55">
        <v>95.7</v>
      </c>
      <c r="F28" s="55">
        <v>96.8</v>
      </c>
      <c r="G28" s="55">
        <v>97.2</v>
      </c>
      <c r="H28" s="55">
        <v>98.7</v>
      </c>
      <c r="I28" s="52">
        <v>97.3</v>
      </c>
    </row>
    <row r="29" spans="1:9" ht="27" customHeight="1">
      <c r="A29" s="94"/>
      <c r="B29" s="44" t="s">
        <v>145</v>
      </c>
      <c r="C29" s="44"/>
      <c r="D29" s="44"/>
      <c r="E29" s="55">
        <v>56</v>
      </c>
      <c r="F29" s="55">
        <v>66.099999999999994</v>
      </c>
      <c r="G29" s="55">
        <v>54</v>
      </c>
      <c r="H29" s="55">
        <v>59.3</v>
      </c>
      <c r="I29" s="52">
        <v>64.099999999999994</v>
      </c>
    </row>
    <row r="30" spans="1:9" ht="27" customHeight="1">
      <c r="A30" s="94"/>
      <c r="B30" s="94" t="s">
        <v>146</v>
      </c>
      <c r="C30" s="44" t="s">
        <v>147</v>
      </c>
      <c r="D30" s="44"/>
      <c r="E30" s="55">
        <v>0</v>
      </c>
      <c r="F30" s="55">
        <v>0</v>
      </c>
      <c r="G30" s="55">
        <v>0</v>
      </c>
      <c r="H30" s="55">
        <v>0</v>
      </c>
      <c r="I30" s="52">
        <v>0</v>
      </c>
    </row>
    <row r="31" spans="1:9" ht="27" customHeight="1">
      <c r="A31" s="94"/>
      <c r="B31" s="94"/>
      <c r="C31" s="44" t="s">
        <v>148</v>
      </c>
      <c r="D31" s="44"/>
      <c r="E31" s="55">
        <v>0</v>
      </c>
      <c r="F31" s="55">
        <v>0</v>
      </c>
      <c r="G31" s="55">
        <v>0</v>
      </c>
      <c r="H31" s="55">
        <v>0</v>
      </c>
      <c r="I31" s="52">
        <v>0</v>
      </c>
    </row>
    <row r="32" spans="1:9" ht="27" customHeight="1">
      <c r="A32" s="94"/>
      <c r="B32" s="94"/>
      <c r="C32" s="44" t="s">
        <v>149</v>
      </c>
      <c r="D32" s="44"/>
      <c r="E32" s="55">
        <v>14</v>
      </c>
      <c r="F32" s="55">
        <v>14.9</v>
      </c>
      <c r="G32" s="55">
        <v>15.2</v>
      </c>
      <c r="H32" s="55">
        <v>15.5</v>
      </c>
      <c r="I32" s="52">
        <v>16.3</v>
      </c>
    </row>
    <row r="33" spans="1:9" ht="27" customHeight="1">
      <c r="A33" s="94"/>
      <c r="B33" s="94"/>
      <c r="C33" s="44" t="s">
        <v>150</v>
      </c>
      <c r="D33" s="44"/>
      <c r="E33" s="55">
        <v>338.8</v>
      </c>
      <c r="F33" s="55">
        <v>342</v>
      </c>
      <c r="G33" s="55">
        <v>315.10000000000002</v>
      </c>
      <c r="H33" s="55">
        <v>326.39999999999998</v>
      </c>
      <c r="I33" s="76">
        <v>321.5</v>
      </c>
    </row>
    <row r="34" spans="1:9" ht="27" customHeight="1">
      <c r="A34" s="2" t="s">
        <v>248</v>
      </c>
      <c r="E34" s="36"/>
      <c r="F34" s="36"/>
      <c r="G34" s="36"/>
      <c r="H34" s="36"/>
      <c r="I34" s="37"/>
    </row>
    <row r="35" spans="1:9" ht="27" customHeight="1">
      <c r="A35" s="8" t="s">
        <v>110</v>
      </c>
    </row>
    <row r="36" spans="1:9">
      <c r="A36" s="38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50"/>
  <sheetViews>
    <sheetView view="pageBreakPreview" zoomScale="85" zoomScaleNormal="100" zoomScaleSheetLayoutView="85" workbookViewId="0">
      <pane xSplit="5" ySplit="7" topLeftCell="F8" activePane="bottomRight" state="frozen"/>
      <selection activeCell="Q22" sqref="Q22"/>
      <selection pane="topRight" activeCell="Q22" sqref="Q22"/>
      <selection pane="bottomLeft" activeCell="Q22" sqref="Q22"/>
      <selection pane="bottomRight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7" width="13.6328125" style="2" customWidth="1"/>
    <col min="28" max="31" width="12" style="2" customWidth="1"/>
    <col min="32" max="16384" width="9" style="2"/>
  </cols>
  <sheetData>
    <row r="1" spans="1:31" ht="34" customHeight="1">
      <c r="A1" s="20" t="s">
        <v>0</v>
      </c>
      <c r="B1" s="11"/>
      <c r="C1" s="11"/>
      <c r="D1" s="85" t="s">
        <v>251</v>
      </c>
      <c r="E1" s="13"/>
      <c r="F1" s="13"/>
      <c r="G1" s="13"/>
    </row>
    <row r="2" spans="1:31" ht="15" customHeight="1"/>
    <row r="3" spans="1:31" ht="15" customHeight="1">
      <c r="A3" s="14" t="s">
        <v>151</v>
      </c>
      <c r="B3" s="14"/>
      <c r="C3" s="14"/>
      <c r="D3" s="14"/>
    </row>
    <row r="4" spans="1:31" ht="15" customHeight="1">
      <c r="A4" s="14"/>
      <c r="B4" s="14"/>
      <c r="C4" s="14"/>
      <c r="D4" s="14"/>
    </row>
    <row r="5" spans="1:31" ht="16" customHeight="1">
      <c r="A5" s="12" t="s">
        <v>246</v>
      </c>
      <c r="B5" s="12"/>
      <c r="C5" s="12"/>
      <c r="D5" s="12"/>
      <c r="K5" s="15"/>
      <c r="Q5" s="15"/>
      <c r="U5" s="15" t="s">
        <v>47</v>
      </c>
    </row>
    <row r="6" spans="1:31" ht="16" customHeight="1">
      <c r="A6" s="111" t="s">
        <v>48</v>
      </c>
      <c r="B6" s="112"/>
      <c r="C6" s="112"/>
      <c r="D6" s="112"/>
      <c r="E6" s="112"/>
      <c r="F6" s="104" t="s">
        <v>254</v>
      </c>
      <c r="G6" s="105"/>
      <c r="H6" s="106" t="s">
        <v>266</v>
      </c>
      <c r="I6" s="105"/>
      <c r="J6" s="100" t="s">
        <v>257</v>
      </c>
      <c r="K6" s="101"/>
      <c r="L6" s="100" t="s">
        <v>258</v>
      </c>
      <c r="M6" s="101"/>
      <c r="N6" s="100" t="s">
        <v>259</v>
      </c>
      <c r="O6" s="101"/>
      <c r="P6" s="100" t="s">
        <v>260</v>
      </c>
      <c r="Q6" s="101"/>
      <c r="R6" s="100" t="s">
        <v>261</v>
      </c>
      <c r="S6" s="101"/>
      <c r="T6" s="100" t="s">
        <v>262</v>
      </c>
      <c r="U6" s="101"/>
    </row>
    <row r="7" spans="1:31" ht="16" customHeight="1">
      <c r="A7" s="112"/>
      <c r="B7" s="112"/>
      <c r="C7" s="112"/>
      <c r="D7" s="112"/>
      <c r="E7" s="112"/>
      <c r="F7" s="48" t="s">
        <v>235</v>
      </c>
      <c r="G7" s="48" t="s">
        <v>236</v>
      </c>
      <c r="H7" s="48" t="s">
        <v>235</v>
      </c>
      <c r="I7" s="48" t="s">
        <v>236</v>
      </c>
      <c r="J7" s="48" t="s">
        <v>235</v>
      </c>
      <c r="K7" s="48" t="s">
        <v>236</v>
      </c>
      <c r="L7" s="48" t="s">
        <v>235</v>
      </c>
      <c r="M7" s="48" t="s">
        <v>236</v>
      </c>
      <c r="N7" s="48" t="s">
        <v>235</v>
      </c>
      <c r="O7" s="48" t="s">
        <v>236</v>
      </c>
      <c r="P7" s="48" t="s">
        <v>235</v>
      </c>
      <c r="Q7" s="48" t="s">
        <v>236</v>
      </c>
      <c r="R7" s="48" t="s">
        <v>235</v>
      </c>
      <c r="S7" s="48" t="s">
        <v>236</v>
      </c>
      <c r="T7" s="48" t="s">
        <v>235</v>
      </c>
      <c r="U7" s="48" t="s">
        <v>236</v>
      </c>
    </row>
    <row r="8" spans="1:31" ht="16" customHeight="1">
      <c r="A8" s="109" t="s">
        <v>82</v>
      </c>
      <c r="B8" s="58" t="s">
        <v>49</v>
      </c>
      <c r="C8" s="50"/>
      <c r="D8" s="50"/>
      <c r="E8" s="63" t="s">
        <v>40</v>
      </c>
      <c r="F8" s="51">
        <v>30113</v>
      </c>
      <c r="G8" s="51">
        <v>30435.3</v>
      </c>
      <c r="H8" s="51">
        <v>163375</v>
      </c>
      <c r="I8" s="51">
        <v>163127</v>
      </c>
      <c r="J8" s="51">
        <v>15930</v>
      </c>
      <c r="K8" s="51">
        <v>15882</v>
      </c>
      <c r="L8" s="51">
        <v>4121</v>
      </c>
      <c r="M8" s="51">
        <v>4089</v>
      </c>
      <c r="N8" s="51">
        <v>0</v>
      </c>
      <c r="O8" s="51">
        <v>0</v>
      </c>
      <c r="P8" s="51">
        <v>6967</v>
      </c>
      <c r="Q8" s="51">
        <v>5779</v>
      </c>
      <c r="R8" s="51">
        <v>1491</v>
      </c>
      <c r="S8" s="51">
        <v>1560</v>
      </c>
      <c r="T8" s="51">
        <f>ROUND(7429872,-6)/1000000</f>
        <v>7</v>
      </c>
      <c r="U8" s="51">
        <v>3219</v>
      </c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31" ht="16" customHeight="1">
      <c r="A9" s="109"/>
      <c r="B9" s="60"/>
      <c r="C9" s="50" t="s">
        <v>50</v>
      </c>
      <c r="D9" s="50"/>
      <c r="E9" s="63" t="s">
        <v>41</v>
      </c>
      <c r="F9" s="51">
        <v>29437.4</v>
      </c>
      <c r="G9" s="51">
        <v>29381</v>
      </c>
      <c r="H9" s="51">
        <f>+H8-H10</f>
        <v>163101</v>
      </c>
      <c r="I9" s="51">
        <v>160820</v>
      </c>
      <c r="J9" s="51">
        <v>15914</v>
      </c>
      <c r="K9" s="51">
        <v>15882</v>
      </c>
      <c r="L9" s="51">
        <v>4107</v>
      </c>
      <c r="M9" s="51">
        <v>4089</v>
      </c>
      <c r="N9" s="51">
        <v>0</v>
      </c>
      <c r="O9" s="51">
        <v>0</v>
      </c>
      <c r="P9" s="51">
        <v>6947</v>
      </c>
      <c r="Q9" s="51">
        <v>5358</v>
      </c>
      <c r="R9" s="51">
        <v>1491</v>
      </c>
      <c r="S9" s="51">
        <v>1560</v>
      </c>
      <c r="T9" s="51">
        <f>ROUND(6725654+696950+7653,-6)/1000000</f>
        <v>7</v>
      </c>
      <c r="U9" s="51">
        <v>2629</v>
      </c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16" customHeight="1">
      <c r="A10" s="109"/>
      <c r="B10" s="59"/>
      <c r="C10" s="50" t="s">
        <v>51</v>
      </c>
      <c r="D10" s="50"/>
      <c r="E10" s="63" t="s">
        <v>42</v>
      </c>
      <c r="F10" s="51">
        <v>675.6</v>
      </c>
      <c r="G10" s="51">
        <v>1054.3</v>
      </c>
      <c r="H10" s="51">
        <v>274</v>
      </c>
      <c r="I10" s="51">
        <v>2307</v>
      </c>
      <c r="J10" s="51">
        <v>16</v>
      </c>
      <c r="K10" s="51">
        <v>0</v>
      </c>
      <c r="L10" s="51">
        <v>14</v>
      </c>
      <c r="M10" s="51">
        <v>0</v>
      </c>
      <c r="N10" s="51">
        <v>0</v>
      </c>
      <c r="O10" s="51">
        <v>0</v>
      </c>
      <c r="P10" s="64">
        <v>20</v>
      </c>
      <c r="Q10" s="51">
        <v>421</v>
      </c>
      <c r="R10" s="51">
        <v>0</v>
      </c>
      <c r="S10" s="51">
        <v>0</v>
      </c>
      <c r="T10" s="51">
        <v>0</v>
      </c>
      <c r="U10" s="51">
        <v>590</v>
      </c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31" ht="16" customHeight="1">
      <c r="A11" s="109"/>
      <c r="B11" s="58" t="s">
        <v>52</v>
      </c>
      <c r="C11" s="50"/>
      <c r="D11" s="50"/>
      <c r="E11" s="63" t="s">
        <v>43</v>
      </c>
      <c r="F11" s="51">
        <v>29236.3</v>
      </c>
      <c r="G11" s="51">
        <v>29395.7</v>
      </c>
      <c r="H11" s="51">
        <v>172792</v>
      </c>
      <c r="I11" s="51">
        <v>171679</v>
      </c>
      <c r="J11" s="51">
        <v>13132</v>
      </c>
      <c r="K11" s="51">
        <v>13005</v>
      </c>
      <c r="L11" s="51">
        <v>3195</v>
      </c>
      <c r="M11" s="51">
        <v>3241</v>
      </c>
      <c r="N11" s="51">
        <v>0</v>
      </c>
      <c r="O11" s="51">
        <v>0</v>
      </c>
      <c r="P11" s="51">
        <v>6483</v>
      </c>
      <c r="Q11" s="51">
        <v>5177</v>
      </c>
      <c r="R11" s="51">
        <v>1209</v>
      </c>
      <c r="S11" s="51">
        <v>1193</v>
      </c>
      <c r="T11" s="51">
        <f>ROUND(106892099+349800,-6)/1000000</f>
        <v>107</v>
      </c>
      <c r="U11" s="51">
        <v>1555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31" ht="16" customHeight="1">
      <c r="A12" s="109"/>
      <c r="B12" s="60"/>
      <c r="C12" s="50" t="s">
        <v>53</v>
      </c>
      <c r="D12" s="50"/>
      <c r="E12" s="63" t="s">
        <v>44</v>
      </c>
      <c r="F12" s="51">
        <v>29236.3</v>
      </c>
      <c r="G12" s="51">
        <v>29395.7</v>
      </c>
      <c r="H12" s="51">
        <f>+H11-H13</f>
        <v>172190</v>
      </c>
      <c r="I12" s="51">
        <v>164017</v>
      </c>
      <c r="J12" s="51">
        <v>13132</v>
      </c>
      <c r="K12" s="51">
        <v>13005</v>
      </c>
      <c r="L12" s="51">
        <v>3195</v>
      </c>
      <c r="M12" s="51">
        <v>3241</v>
      </c>
      <c r="N12" s="51">
        <v>0</v>
      </c>
      <c r="O12" s="51">
        <v>0</v>
      </c>
      <c r="P12" s="51">
        <v>6462</v>
      </c>
      <c r="Q12" s="92">
        <v>4756</v>
      </c>
      <c r="R12" s="51">
        <v>1209</v>
      </c>
      <c r="S12" s="51">
        <v>1193</v>
      </c>
      <c r="T12" s="51">
        <f>ROUND(13480000+126217+349800,-6)/1000000</f>
        <v>14</v>
      </c>
      <c r="U12" s="51">
        <v>1555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31" ht="16" customHeight="1">
      <c r="A13" s="109"/>
      <c r="B13" s="59"/>
      <c r="C13" s="50" t="s">
        <v>54</v>
      </c>
      <c r="D13" s="50"/>
      <c r="E13" s="63" t="s">
        <v>45</v>
      </c>
      <c r="F13" s="51">
        <v>0</v>
      </c>
      <c r="G13" s="51">
        <v>0</v>
      </c>
      <c r="H13" s="51">
        <v>602</v>
      </c>
      <c r="I13" s="51">
        <v>7662</v>
      </c>
      <c r="J13" s="51">
        <v>0</v>
      </c>
      <c r="K13" s="51">
        <v>0</v>
      </c>
      <c r="L13" s="64">
        <v>0</v>
      </c>
      <c r="M13" s="51">
        <v>0</v>
      </c>
      <c r="N13" s="64">
        <v>0</v>
      </c>
      <c r="O13" s="51">
        <v>0</v>
      </c>
      <c r="P13" s="64">
        <v>21</v>
      </c>
      <c r="Q13" s="51">
        <v>421</v>
      </c>
      <c r="R13" s="51">
        <v>0</v>
      </c>
      <c r="S13" s="51">
        <v>0</v>
      </c>
      <c r="T13" s="51">
        <f>ROUND(93285882,-6)/1000000</f>
        <v>93</v>
      </c>
      <c r="U13" s="51">
        <v>0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31" ht="16" customHeight="1">
      <c r="A14" s="109"/>
      <c r="B14" s="50" t="s">
        <v>55</v>
      </c>
      <c r="C14" s="50"/>
      <c r="D14" s="50"/>
      <c r="E14" s="63" t="s">
        <v>152</v>
      </c>
      <c r="F14" s="51">
        <f t="shared" ref="F14:I15" si="0">F9-F12</f>
        <v>201.10000000000218</v>
      </c>
      <c r="G14" s="51">
        <f t="shared" si="0"/>
        <v>-14.700000000000728</v>
      </c>
      <c r="H14" s="51">
        <f t="shared" si="0"/>
        <v>-9089</v>
      </c>
      <c r="I14" s="51">
        <f t="shared" si="0"/>
        <v>-3197</v>
      </c>
      <c r="J14" s="51">
        <f t="shared" ref="J14:U15" si="1">J9-J12</f>
        <v>2782</v>
      </c>
      <c r="K14" s="51">
        <f t="shared" si="1"/>
        <v>2877</v>
      </c>
      <c r="L14" s="51">
        <f t="shared" si="1"/>
        <v>912</v>
      </c>
      <c r="M14" s="51">
        <f t="shared" si="1"/>
        <v>848</v>
      </c>
      <c r="N14" s="51">
        <f t="shared" si="1"/>
        <v>0</v>
      </c>
      <c r="O14" s="51">
        <f t="shared" si="1"/>
        <v>0</v>
      </c>
      <c r="P14" s="51">
        <f t="shared" si="1"/>
        <v>485</v>
      </c>
      <c r="Q14" s="51">
        <f t="shared" si="1"/>
        <v>602</v>
      </c>
      <c r="R14" s="51">
        <f t="shared" si="1"/>
        <v>282</v>
      </c>
      <c r="S14" s="51">
        <f t="shared" si="1"/>
        <v>367</v>
      </c>
      <c r="T14" s="51">
        <f t="shared" si="1"/>
        <v>-7</v>
      </c>
      <c r="U14" s="51">
        <f t="shared" si="1"/>
        <v>1074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31" ht="16" customHeight="1">
      <c r="A15" s="109"/>
      <c r="B15" s="50" t="s">
        <v>56</v>
      </c>
      <c r="C15" s="50"/>
      <c r="D15" s="50"/>
      <c r="E15" s="63" t="s">
        <v>153</v>
      </c>
      <c r="F15" s="51">
        <f t="shared" si="0"/>
        <v>675.6</v>
      </c>
      <c r="G15" s="51">
        <f t="shared" si="0"/>
        <v>1054.3</v>
      </c>
      <c r="H15" s="51">
        <f t="shared" si="0"/>
        <v>-328</v>
      </c>
      <c r="I15" s="51">
        <f t="shared" si="0"/>
        <v>-5355</v>
      </c>
      <c r="J15" s="51">
        <f t="shared" si="1"/>
        <v>16</v>
      </c>
      <c r="K15" s="51">
        <f t="shared" si="1"/>
        <v>0</v>
      </c>
      <c r="L15" s="51">
        <f t="shared" si="1"/>
        <v>14</v>
      </c>
      <c r="M15" s="51">
        <f t="shared" si="1"/>
        <v>0</v>
      </c>
      <c r="N15" s="51">
        <f t="shared" si="1"/>
        <v>0</v>
      </c>
      <c r="O15" s="51">
        <f t="shared" si="1"/>
        <v>0</v>
      </c>
      <c r="P15" s="51">
        <f t="shared" si="1"/>
        <v>-1</v>
      </c>
      <c r="Q15" s="51">
        <f t="shared" si="1"/>
        <v>0</v>
      </c>
      <c r="R15" s="51">
        <f t="shared" si="1"/>
        <v>0</v>
      </c>
      <c r="S15" s="51">
        <f t="shared" si="1"/>
        <v>0</v>
      </c>
      <c r="T15" s="51">
        <f t="shared" si="1"/>
        <v>-93</v>
      </c>
      <c r="U15" s="51">
        <f t="shared" si="1"/>
        <v>590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31" ht="16" customHeight="1">
      <c r="A16" s="109"/>
      <c r="B16" s="50" t="s">
        <v>57</v>
      </c>
      <c r="C16" s="50"/>
      <c r="D16" s="50"/>
      <c r="E16" s="63" t="s">
        <v>154</v>
      </c>
      <c r="F16" s="51">
        <f t="shared" ref="F16:H16" si="2">F8-F11</f>
        <v>876.70000000000073</v>
      </c>
      <c r="G16" s="51">
        <f t="shared" si="2"/>
        <v>1039.5999999999985</v>
      </c>
      <c r="H16" s="51">
        <f t="shared" si="2"/>
        <v>-9417</v>
      </c>
      <c r="I16" s="51">
        <f>I8-I11</f>
        <v>-8552</v>
      </c>
      <c r="J16" s="51">
        <f t="shared" ref="J16:U16" si="3">J8-J11</f>
        <v>2798</v>
      </c>
      <c r="K16" s="51">
        <f t="shared" si="3"/>
        <v>2877</v>
      </c>
      <c r="L16" s="51">
        <f t="shared" si="3"/>
        <v>926</v>
      </c>
      <c r="M16" s="51">
        <f t="shared" si="3"/>
        <v>848</v>
      </c>
      <c r="N16" s="51">
        <f t="shared" si="3"/>
        <v>0</v>
      </c>
      <c r="O16" s="51">
        <f t="shared" si="3"/>
        <v>0</v>
      </c>
      <c r="P16" s="51">
        <f t="shared" si="3"/>
        <v>484</v>
      </c>
      <c r="Q16" s="51">
        <f t="shared" si="3"/>
        <v>602</v>
      </c>
      <c r="R16" s="51">
        <f t="shared" si="3"/>
        <v>282</v>
      </c>
      <c r="S16" s="51">
        <f t="shared" si="3"/>
        <v>367</v>
      </c>
      <c r="T16" s="51">
        <f t="shared" si="3"/>
        <v>-100</v>
      </c>
      <c r="U16" s="51">
        <f t="shared" si="3"/>
        <v>1664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ht="16" customHeight="1">
      <c r="A17" s="109"/>
      <c r="B17" s="50" t="s">
        <v>58</v>
      </c>
      <c r="C17" s="50"/>
      <c r="D17" s="50"/>
      <c r="E17" s="48"/>
      <c r="F17" s="64">
        <v>0</v>
      </c>
      <c r="G17" s="64">
        <v>0</v>
      </c>
      <c r="H17" s="64">
        <f>+I17-H16</f>
        <v>49571</v>
      </c>
      <c r="I17" s="64">
        <v>40154</v>
      </c>
      <c r="J17" s="64">
        <v>0</v>
      </c>
      <c r="K17" s="64">
        <v>0</v>
      </c>
      <c r="L17" s="64">
        <v>0</v>
      </c>
      <c r="M17" s="51">
        <v>0</v>
      </c>
      <c r="N17" s="64">
        <v>0</v>
      </c>
      <c r="O17" s="51">
        <v>0</v>
      </c>
      <c r="P17" s="51">
        <v>0</v>
      </c>
      <c r="Q17" s="51">
        <v>0</v>
      </c>
      <c r="R17" s="51">
        <v>0</v>
      </c>
      <c r="S17" s="64">
        <v>0</v>
      </c>
      <c r="T17" s="64">
        <v>0</v>
      </c>
      <c r="U17" s="64">
        <v>0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ht="16" customHeight="1">
      <c r="A18" s="109"/>
      <c r="B18" s="50" t="s">
        <v>59</v>
      </c>
      <c r="C18" s="50"/>
      <c r="D18" s="50"/>
      <c r="E18" s="48"/>
      <c r="F18" s="65">
        <v>0</v>
      </c>
      <c r="G18" s="65">
        <v>0</v>
      </c>
      <c r="H18" s="65"/>
      <c r="I18" s="65"/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ht="16" customHeight="1">
      <c r="A19" s="109" t="s">
        <v>83</v>
      </c>
      <c r="B19" s="58" t="s">
        <v>60</v>
      </c>
      <c r="C19" s="50"/>
      <c r="D19" s="50"/>
      <c r="E19" s="63"/>
      <c r="F19" s="51">
        <v>22539.5</v>
      </c>
      <c r="G19" s="51">
        <v>16834.900000000001</v>
      </c>
      <c r="H19" s="51">
        <v>18761</v>
      </c>
      <c r="I19" s="51">
        <v>20148</v>
      </c>
      <c r="J19" s="51">
        <v>415</v>
      </c>
      <c r="K19" s="51">
        <v>1387</v>
      </c>
      <c r="L19" s="51">
        <v>16</v>
      </c>
      <c r="M19" s="51">
        <v>0.1</v>
      </c>
      <c r="N19" s="51">
        <v>20</v>
      </c>
      <c r="O19" s="51">
        <v>79</v>
      </c>
      <c r="P19" s="51">
        <v>19772</v>
      </c>
      <c r="Q19" s="51">
        <v>2876</v>
      </c>
      <c r="R19" s="51">
        <v>205</v>
      </c>
      <c r="S19" s="51">
        <v>205</v>
      </c>
      <c r="T19" s="51">
        <f>ROUND(70994496+17995,-6)/1000000</f>
        <v>71</v>
      </c>
      <c r="U19" s="51">
        <v>175</v>
      </c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ht="16" customHeight="1">
      <c r="A20" s="109"/>
      <c r="B20" s="59"/>
      <c r="C20" s="50" t="s">
        <v>61</v>
      </c>
      <c r="D20" s="50"/>
      <c r="E20" s="63"/>
      <c r="F20" s="51">
        <v>6163.2</v>
      </c>
      <c r="G20" s="51">
        <v>3367.8</v>
      </c>
      <c r="H20" s="51">
        <v>10731</v>
      </c>
      <c r="I20" s="51">
        <v>12343</v>
      </c>
      <c r="J20" s="51">
        <v>118</v>
      </c>
      <c r="K20" s="51">
        <v>578</v>
      </c>
      <c r="L20" s="51">
        <v>0</v>
      </c>
      <c r="M20" s="51">
        <v>0</v>
      </c>
      <c r="N20" s="51">
        <v>0</v>
      </c>
      <c r="O20" s="51">
        <v>0</v>
      </c>
      <c r="P20" s="93">
        <v>0</v>
      </c>
      <c r="Q20" s="51">
        <v>2807</v>
      </c>
      <c r="R20" s="51">
        <v>0</v>
      </c>
      <c r="S20" s="51">
        <v>0</v>
      </c>
      <c r="T20" s="51">
        <v>0</v>
      </c>
      <c r="U20" s="51">
        <v>0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ht="16" customHeight="1">
      <c r="A21" s="109"/>
      <c r="B21" s="77" t="s">
        <v>62</v>
      </c>
      <c r="C21" s="50"/>
      <c r="D21" s="50"/>
      <c r="E21" s="63" t="s">
        <v>155</v>
      </c>
      <c r="F21" s="51">
        <v>22539.5</v>
      </c>
      <c r="G21" s="51">
        <v>16834.900000000001</v>
      </c>
      <c r="H21" s="51">
        <f>+H19</f>
        <v>18761</v>
      </c>
      <c r="I21" s="51">
        <v>20148</v>
      </c>
      <c r="J21" s="51">
        <v>415</v>
      </c>
      <c r="K21" s="51">
        <v>1387</v>
      </c>
      <c r="L21" s="51">
        <v>16</v>
      </c>
      <c r="M21" s="51">
        <v>0.1</v>
      </c>
      <c r="N21" s="51">
        <v>20</v>
      </c>
      <c r="O21" s="51">
        <v>79</v>
      </c>
      <c r="P21" s="51">
        <v>19772</v>
      </c>
      <c r="Q21" s="51">
        <v>2876</v>
      </c>
      <c r="R21" s="51">
        <v>205</v>
      </c>
      <c r="S21" s="51">
        <v>205</v>
      </c>
      <c r="T21" s="51">
        <f>ROUND(70994496+17995,-6)/1000000</f>
        <v>71</v>
      </c>
      <c r="U21" s="51">
        <v>175</v>
      </c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ht="16" customHeight="1">
      <c r="A22" s="109"/>
      <c r="B22" s="58" t="s">
        <v>63</v>
      </c>
      <c r="C22" s="50"/>
      <c r="D22" s="50"/>
      <c r="E22" s="63" t="s">
        <v>156</v>
      </c>
      <c r="F22" s="51">
        <v>22922.1</v>
      </c>
      <c r="G22" s="51">
        <v>17175.400000000001</v>
      </c>
      <c r="H22" s="51">
        <v>24139</v>
      </c>
      <c r="I22" s="51">
        <v>23616</v>
      </c>
      <c r="J22" s="51">
        <v>5596</v>
      </c>
      <c r="K22" s="51">
        <v>7775</v>
      </c>
      <c r="L22" s="51">
        <v>1360</v>
      </c>
      <c r="M22" s="51">
        <v>1473</v>
      </c>
      <c r="N22" s="51">
        <v>20</v>
      </c>
      <c r="O22" s="51">
        <v>79</v>
      </c>
      <c r="P22" s="51">
        <v>34873</v>
      </c>
      <c r="Q22" s="51">
        <v>12405</v>
      </c>
      <c r="R22" s="51">
        <v>3</v>
      </c>
      <c r="S22" s="51">
        <v>0.3</v>
      </c>
      <c r="T22" s="51">
        <f>ROUND(342980378+180926137,-6)/1000000</f>
        <v>524</v>
      </c>
      <c r="U22" s="51">
        <v>516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ht="16" customHeight="1">
      <c r="A23" s="109"/>
      <c r="B23" s="59" t="s">
        <v>64</v>
      </c>
      <c r="C23" s="50" t="s">
        <v>65</v>
      </c>
      <c r="D23" s="50"/>
      <c r="E23" s="63"/>
      <c r="F23" s="51">
        <v>4300.3999999999996</v>
      </c>
      <c r="G23" s="51">
        <v>4751.7</v>
      </c>
      <c r="H23" s="51">
        <v>11546</v>
      </c>
      <c r="I23" s="51">
        <v>10166</v>
      </c>
      <c r="J23" s="51">
        <v>2454</v>
      </c>
      <c r="K23" s="51">
        <v>2711</v>
      </c>
      <c r="L23" s="51">
        <v>878</v>
      </c>
      <c r="M23" s="51">
        <v>893</v>
      </c>
      <c r="N23" s="51">
        <v>0</v>
      </c>
      <c r="O23" s="51">
        <v>0</v>
      </c>
      <c r="P23" s="51">
        <v>953</v>
      </c>
      <c r="Q23" s="51">
        <v>2807</v>
      </c>
      <c r="R23" s="51">
        <v>0</v>
      </c>
      <c r="S23" s="51">
        <v>0.3</v>
      </c>
      <c r="T23" s="51">
        <f>ROUND(178700000,-6)/1000000</f>
        <v>179</v>
      </c>
      <c r="U23" s="51">
        <v>0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ht="16" customHeight="1">
      <c r="A24" s="109"/>
      <c r="B24" s="50" t="s">
        <v>157</v>
      </c>
      <c r="C24" s="50"/>
      <c r="D24" s="50"/>
      <c r="E24" s="63" t="s">
        <v>158</v>
      </c>
      <c r="F24" s="51">
        <f t="shared" ref="F24:I24" si="4">F21-F22</f>
        <v>-382.59999999999854</v>
      </c>
      <c r="G24" s="51">
        <f t="shared" si="4"/>
        <v>-340.5</v>
      </c>
      <c r="H24" s="51">
        <f t="shared" si="4"/>
        <v>-5378</v>
      </c>
      <c r="I24" s="51">
        <f t="shared" si="4"/>
        <v>-3468</v>
      </c>
      <c r="J24" s="51">
        <f t="shared" ref="J24:U24" si="5">J21-J22</f>
        <v>-5181</v>
      </c>
      <c r="K24" s="51">
        <f t="shared" si="5"/>
        <v>-6388</v>
      </c>
      <c r="L24" s="51">
        <f t="shared" si="5"/>
        <v>-1344</v>
      </c>
      <c r="M24" s="51">
        <f>M21-M22</f>
        <v>-1472.9</v>
      </c>
      <c r="N24" s="51">
        <f t="shared" si="5"/>
        <v>0</v>
      </c>
      <c r="O24" s="51">
        <f t="shared" si="5"/>
        <v>0</v>
      </c>
      <c r="P24" s="51">
        <f t="shared" si="5"/>
        <v>-15101</v>
      </c>
      <c r="Q24" s="51">
        <f t="shared" si="5"/>
        <v>-9529</v>
      </c>
      <c r="R24" s="51">
        <f t="shared" si="5"/>
        <v>202</v>
      </c>
      <c r="S24" s="51">
        <f t="shared" si="5"/>
        <v>204.7</v>
      </c>
      <c r="T24" s="51">
        <f t="shared" si="5"/>
        <v>-453</v>
      </c>
      <c r="U24" s="51">
        <f t="shared" si="5"/>
        <v>-341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ht="16" customHeight="1">
      <c r="A25" s="109"/>
      <c r="B25" s="58" t="s">
        <v>66</v>
      </c>
      <c r="C25" s="58"/>
      <c r="D25" s="58"/>
      <c r="E25" s="113" t="s">
        <v>159</v>
      </c>
      <c r="F25" s="98">
        <f>F22-F19</f>
        <v>382.59999999999854</v>
      </c>
      <c r="G25" s="98">
        <f>G22-G19</f>
        <v>340.5</v>
      </c>
      <c r="H25" s="98">
        <v>5378</v>
      </c>
      <c r="I25" s="98">
        <v>3468</v>
      </c>
      <c r="J25" s="98">
        <v>5181</v>
      </c>
      <c r="K25" s="107">
        <v>6388</v>
      </c>
      <c r="L25" s="98">
        <v>1344</v>
      </c>
      <c r="M25" s="98">
        <v>1472.9</v>
      </c>
      <c r="N25" s="98">
        <v>0</v>
      </c>
      <c r="O25" s="98"/>
      <c r="P25" s="98">
        <v>15101</v>
      </c>
      <c r="Q25" s="98">
        <v>9529</v>
      </c>
      <c r="R25" s="98">
        <v>0</v>
      </c>
      <c r="S25" s="98">
        <v>0</v>
      </c>
      <c r="T25" s="98">
        <v>453</v>
      </c>
      <c r="U25" s="98">
        <v>341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16" customHeight="1">
      <c r="A26" s="109"/>
      <c r="B26" s="77" t="s">
        <v>67</v>
      </c>
      <c r="C26" s="77"/>
      <c r="D26" s="77"/>
      <c r="E26" s="114"/>
      <c r="F26" s="99"/>
      <c r="G26" s="99"/>
      <c r="H26" s="99"/>
      <c r="I26" s="99"/>
      <c r="J26" s="99"/>
      <c r="K26" s="108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ht="16" customHeight="1">
      <c r="A27" s="109"/>
      <c r="B27" s="50" t="s">
        <v>160</v>
      </c>
      <c r="C27" s="50"/>
      <c r="D27" s="50"/>
      <c r="E27" s="63" t="s">
        <v>161</v>
      </c>
      <c r="F27" s="51">
        <f t="shared" ref="F27:I27" si="6">F24+F25</f>
        <v>0</v>
      </c>
      <c r="G27" s="51">
        <f t="shared" si="6"/>
        <v>0</v>
      </c>
      <c r="H27" s="51">
        <f t="shared" si="6"/>
        <v>0</v>
      </c>
      <c r="I27" s="51">
        <f t="shared" si="6"/>
        <v>0</v>
      </c>
      <c r="J27" s="51">
        <f t="shared" ref="J27:T27" si="7">J24+J25</f>
        <v>0</v>
      </c>
      <c r="K27" s="51">
        <f t="shared" si="7"/>
        <v>0</v>
      </c>
      <c r="L27" s="51">
        <f t="shared" si="7"/>
        <v>0</v>
      </c>
      <c r="M27" s="51">
        <f>M24+M25</f>
        <v>0</v>
      </c>
      <c r="N27" s="51">
        <f t="shared" si="7"/>
        <v>0</v>
      </c>
      <c r="O27" s="51">
        <f>O24+O25</f>
        <v>0</v>
      </c>
      <c r="P27" s="51">
        <f t="shared" si="7"/>
        <v>0</v>
      </c>
      <c r="Q27" s="51">
        <f t="shared" si="7"/>
        <v>0</v>
      </c>
      <c r="R27" s="51">
        <f t="shared" si="7"/>
        <v>202</v>
      </c>
      <c r="S27" s="51">
        <f t="shared" si="7"/>
        <v>204.7</v>
      </c>
      <c r="T27" s="51">
        <f t="shared" si="7"/>
        <v>0</v>
      </c>
      <c r="U27" s="51">
        <f>U24+U25</f>
        <v>0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16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16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5"/>
      <c r="P29" s="26"/>
      <c r="Q29" s="26"/>
      <c r="R29" s="25"/>
      <c r="S29" s="25"/>
      <c r="T29" s="25"/>
      <c r="U29" s="26" t="s">
        <v>162</v>
      </c>
      <c r="V29" s="25"/>
      <c r="W29" s="25"/>
      <c r="X29" s="25"/>
      <c r="Y29" s="25"/>
      <c r="Z29" s="25"/>
      <c r="AA29" s="25"/>
      <c r="AB29" s="25"/>
      <c r="AC29" s="25"/>
      <c r="AD29" s="25"/>
      <c r="AE29" s="26"/>
    </row>
    <row r="30" spans="1:31" ht="16" customHeight="1">
      <c r="A30" s="112" t="s">
        <v>68</v>
      </c>
      <c r="B30" s="112"/>
      <c r="C30" s="112"/>
      <c r="D30" s="112"/>
      <c r="E30" s="112"/>
      <c r="F30" s="116" t="s">
        <v>255</v>
      </c>
      <c r="G30" s="117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27"/>
      <c r="W30" s="25"/>
      <c r="X30" s="27"/>
      <c r="Y30" s="25"/>
      <c r="Z30" s="27"/>
      <c r="AA30" s="25"/>
      <c r="AB30" s="27"/>
      <c r="AC30" s="25"/>
      <c r="AD30" s="27"/>
      <c r="AE30" s="25"/>
    </row>
    <row r="31" spans="1:31" ht="16" customHeight="1">
      <c r="A31" s="112"/>
      <c r="B31" s="112"/>
      <c r="C31" s="112"/>
      <c r="D31" s="112"/>
      <c r="E31" s="112"/>
      <c r="F31" s="48" t="s">
        <v>235</v>
      </c>
      <c r="G31" s="48" t="s">
        <v>236</v>
      </c>
      <c r="H31" s="48" t="s">
        <v>235</v>
      </c>
      <c r="I31" s="48" t="s">
        <v>236</v>
      </c>
      <c r="J31" s="48" t="s">
        <v>235</v>
      </c>
      <c r="K31" s="48" t="s">
        <v>236</v>
      </c>
      <c r="L31" s="48" t="s">
        <v>235</v>
      </c>
      <c r="M31" s="48" t="s">
        <v>236</v>
      </c>
      <c r="N31" s="48" t="s">
        <v>235</v>
      </c>
      <c r="O31" s="48" t="s">
        <v>236</v>
      </c>
      <c r="P31" s="48" t="s">
        <v>235</v>
      </c>
      <c r="Q31" s="48" t="s">
        <v>236</v>
      </c>
      <c r="R31" s="48" t="s">
        <v>235</v>
      </c>
      <c r="S31" s="48" t="s">
        <v>236</v>
      </c>
      <c r="T31" s="48" t="s">
        <v>235</v>
      </c>
      <c r="U31" s="48" t="s">
        <v>236</v>
      </c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ht="16" customHeight="1">
      <c r="A32" s="109" t="s">
        <v>84</v>
      </c>
      <c r="B32" s="58" t="s">
        <v>49</v>
      </c>
      <c r="C32" s="50"/>
      <c r="D32" s="50"/>
      <c r="E32" s="63" t="s">
        <v>40</v>
      </c>
      <c r="F32" s="51">
        <f>SUM(F33,F35)</f>
        <v>2180.0519999999997</v>
      </c>
      <c r="G32" s="51">
        <f>SUM(G33,G35)</f>
        <v>2169.5630000000001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29"/>
      <c r="W32" s="29"/>
      <c r="X32" s="29"/>
      <c r="Y32" s="29"/>
      <c r="Z32" s="30"/>
      <c r="AA32" s="30"/>
      <c r="AB32" s="29"/>
      <c r="AC32" s="29"/>
      <c r="AD32" s="30"/>
      <c r="AE32" s="30"/>
    </row>
    <row r="33" spans="1:31" ht="16" customHeight="1">
      <c r="A33" s="115"/>
      <c r="B33" s="60"/>
      <c r="C33" s="58" t="s">
        <v>69</v>
      </c>
      <c r="D33" s="50"/>
      <c r="E33" s="63"/>
      <c r="F33" s="51">
        <f>2180.024+0.028</f>
        <v>2180.0519999999997</v>
      </c>
      <c r="G33" s="51">
        <f>2129.04+40.523</f>
        <v>2169.5630000000001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29"/>
      <c r="W33" s="29"/>
      <c r="X33" s="29"/>
      <c r="Y33" s="29"/>
      <c r="Z33" s="30"/>
      <c r="AA33" s="30"/>
      <c r="AB33" s="29"/>
      <c r="AC33" s="29"/>
      <c r="AD33" s="30"/>
      <c r="AE33" s="30"/>
    </row>
    <row r="34" spans="1:31" ht="16" customHeight="1">
      <c r="A34" s="115"/>
      <c r="B34" s="60"/>
      <c r="C34" s="59"/>
      <c r="D34" s="50" t="s">
        <v>70</v>
      </c>
      <c r="E34" s="63"/>
      <c r="F34" s="51">
        <f>2180.024</f>
        <v>2180.0239999999999</v>
      </c>
      <c r="G34" s="51">
        <f>2129.04</f>
        <v>2129.04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29"/>
      <c r="W34" s="29"/>
      <c r="X34" s="29"/>
      <c r="Y34" s="29"/>
      <c r="Z34" s="30"/>
      <c r="AA34" s="30"/>
      <c r="AB34" s="29"/>
      <c r="AC34" s="29"/>
      <c r="AD34" s="30"/>
      <c r="AE34" s="30"/>
    </row>
    <row r="35" spans="1:31" ht="16" customHeight="1">
      <c r="A35" s="115"/>
      <c r="B35" s="59"/>
      <c r="C35" s="77" t="s">
        <v>71</v>
      </c>
      <c r="D35" s="50"/>
      <c r="E35" s="63"/>
      <c r="F35" s="51">
        <v>0</v>
      </c>
      <c r="G35" s="51">
        <v>0</v>
      </c>
      <c r="H35" s="51"/>
      <c r="I35" s="51"/>
      <c r="J35" s="65"/>
      <c r="K35" s="65"/>
      <c r="L35" s="51"/>
      <c r="M35" s="51"/>
      <c r="N35" s="51"/>
      <c r="O35" s="51"/>
      <c r="P35" s="65"/>
      <c r="Q35" s="65"/>
      <c r="R35" s="51"/>
      <c r="S35" s="51"/>
      <c r="T35" s="51"/>
      <c r="U35" s="51"/>
      <c r="V35" s="29"/>
      <c r="W35" s="29"/>
      <c r="X35" s="29"/>
      <c r="Y35" s="29"/>
      <c r="Z35" s="30"/>
      <c r="AA35" s="30"/>
      <c r="AB35" s="29"/>
      <c r="AC35" s="29"/>
      <c r="AD35" s="30"/>
      <c r="AE35" s="30"/>
    </row>
    <row r="36" spans="1:31" ht="16" customHeight="1">
      <c r="A36" s="115"/>
      <c r="B36" s="58" t="s">
        <v>52</v>
      </c>
      <c r="C36" s="50"/>
      <c r="D36" s="50"/>
      <c r="E36" s="63" t="s">
        <v>41</v>
      </c>
      <c r="F36" s="51">
        <f>SUM(F37,F38)</f>
        <v>628.47299999999996</v>
      </c>
      <c r="G36" s="51">
        <f>SUM(G37,G38)</f>
        <v>739.548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29"/>
      <c r="W36" s="29"/>
      <c r="X36" s="29"/>
      <c r="Y36" s="29"/>
      <c r="Z36" s="29"/>
      <c r="AA36" s="29"/>
      <c r="AB36" s="29"/>
      <c r="AC36" s="29"/>
      <c r="AD36" s="30"/>
      <c r="AE36" s="30"/>
    </row>
    <row r="37" spans="1:31" ht="16" customHeight="1">
      <c r="A37" s="115"/>
      <c r="B37" s="60"/>
      <c r="C37" s="50" t="s">
        <v>72</v>
      </c>
      <c r="D37" s="50"/>
      <c r="E37" s="63"/>
      <c r="F37" s="51">
        <f>552.656</f>
        <v>552.65599999999995</v>
      </c>
      <c r="G37" s="51">
        <f>667.884</f>
        <v>667.88400000000001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29"/>
      <c r="W37" s="29"/>
      <c r="X37" s="29"/>
      <c r="Y37" s="29"/>
      <c r="Z37" s="29"/>
      <c r="AA37" s="29"/>
      <c r="AB37" s="29"/>
      <c r="AC37" s="29"/>
      <c r="AD37" s="30"/>
      <c r="AE37" s="30"/>
    </row>
    <row r="38" spans="1:31" ht="16" customHeight="1">
      <c r="A38" s="115"/>
      <c r="B38" s="59"/>
      <c r="C38" s="50" t="s">
        <v>73</v>
      </c>
      <c r="D38" s="50"/>
      <c r="E38" s="63"/>
      <c r="F38" s="51">
        <f>75.817</f>
        <v>75.816999999999993</v>
      </c>
      <c r="G38" s="51">
        <f>71.664</f>
        <v>71.664000000000001</v>
      </c>
      <c r="H38" s="51"/>
      <c r="I38" s="51"/>
      <c r="J38" s="51"/>
      <c r="K38" s="65"/>
      <c r="L38" s="51"/>
      <c r="M38" s="51"/>
      <c r="N38" s="51"/>
      <c r="O38" s="51"/>
      <c r="P38" s="51"/>
      <c r="Q38" s="65"/>
      <c r="R38" s="51"/>
      <c r="S38" s="51"/>
      <c r="T38" s="51"/>
      <c r="U38" s="51"/>
      <c r="V38" s="29"/>
      <c r="W38" s="29"/>
      <c r="X38" s="30"/>
      <c r="Y38" s="30"/>
      <c r="Z38" s="29"/>
      <c r="AA38" s="29"/>
      <c r="AB38" s="29"/>
      <c r="AC38" s="29"/>
      <c r="AD38" s="30"/>
      <c r="AE38" s="30"/>
    </row>
    <row r="39" spans="1:31" ht="16" customHeight="1">
      <c r="A39" s="115"/>
      <c r="B39" s="44" t="s">
        <v>74</v>
      </c>
      <c r="C39" s="44"/>
      <c r="D39" s="44"/>
      <c r="E39" s="63" t="s">
        <v>163</v>
      </c>
      <c r="F39" s="51">
        <f t="shared" ref="F39:G39" si="8">F32-F36</f>
        <v>1551.5789999999997</v>
      </c>
      <c r="G39" s="51">
        <f t="shared" si="8"/>
        <v>1430.0150000000001</v>
      </c>
      <c r="H39" s="51">
        <f t="shared" ref="H39:U39" si="9">H32-H36</f>
        <v>0</v>
      </c>
      <c r="I39" s="51">
        <f t="shared" si="9"/>
        <v>0</v>
      </c>
      <c r="J39" s="51">
        <f t="shared" si="9"/>
        <v>0</v>
      </c>
      <c r="K39" s="51">
        <f t="shared" si="9"/>
        <v>0</v>
      </c>
      <c r="L39" s="51">
        <f t="shared" si="9"/>
        <v>0</v>
      </c>
      <c r="M39" s="51">
        <f t="shared" si="9"/>
        <v>0</v>
      </c>
      <c r="N39" s="51">
        <f t="shared" ref="N39:S39" si="10">N32-N36</f>
        <v>0</v>
      </c>
      <c r="O39" s="51">
        <f t="shared" si="10"/>
        <v>0</v>
      </c>
      <c r="P39" s="51">
        <f t="shared" si="10"/>
        <v>0</v>
      </c>
      <c r="Q39" s="51">
        <f t="shared" si="10"/>
        <v>0</v>
      </c>
      <c r="R39" s="51">
        <f t="shared" si="10"/>
        <v>0</v>
      </c>
      <c r="S39" s="51">
        <f t="shared" si="10"/>
        <v>0</v>
      </c>
      <c r="T39" s="51">
        <f t="shared" si="9"/>
        <v>0</v>
      </c>
      <c r="U39" s="51">
        <f t="shared" si="9"/>
        <v>0</v>
      </c>
      <c r="V39" s="29"/>
      <c r="W39" s="29"/>
      <c r="X39" s="29"/>
      <c r="Y39" s="29"/>
      <c r="Z39" s="29"/>
      <c r="AA39" s="29"/>
      <c r="AB39" s="29"/>
      <c r="AC39" s="29"/>
      <c r="AD39" s="30"/>
      <c r="AE39" s="30"/>
    </row>
    <row r="40" spans="1:31" ht="16" customHeight="1">
      <c r="A40" s="109" t="s">
        <v>85</v>
      </c>
      <c r="B40" s="58" t="s">
        <v>75</v>
      </c>
      <c r="C40" s="50"/>
      <c r="D40" s="50"/>
      <c r="E40" s="63" t="s">
        <v>43</v>
      </c>
      <c r="F40" s="51">
        <f>1640.5+40.868</f>
        <v>1681.3679999999999</v>
      </c>
      <c r="G40" s="51">
        <f>2192.9+209+40.868</f>
        <v>2442.768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29"/>
      <c r="W40" s="29"/>
      <c r="X40" s="29"/>
      <c r="Y40" s="29"/>
      <c r="Z40" s="30"/>
      <c r="AA40" s="30"/>
      <c r="AB40" s="30"/>
      <c r="AC40" s="30"/>
      <c r="AD40" s="29"/>
      <c r="AE40" s="29"/>
    </row>
    <row r="41" spans="1:31" ht="16" customHeight="1">
      <c r="A41" s="110"/>
      <c r="B41" s="59"/>
      <c r="C41" s="50" t="s">
        <v>76</v>
      </c>
      <c r="D41" s="50"/>
      <c r="E41" s="63"/>
      <c r="F41" s="65">
        <f>1640.5</f>
        <v>1640.5</v>
      </c>
      <c r="G41" s="65">
        <f>2192.9</f>
        <v>2192.9</v>
      </c>
      <c r="H41" s="65"/>
      <c r="I41" s="65"/>
      <c r="J41" s="51"/>
      <c r="K41" s="51"/>
      <c r="L41" s="51"/>
      <c r="M41" s="51"/>
      <c r="N41" s="65"/>
      <c r="O41" s="65"/>
      <c r="P41" s="51"/>
      <c r="Q41" s="51"/>
      <c r="R41" s="51"/>
      <c r="S41" s="51"/>
      <c r="T41" s="51"/>
      <c r="U41" s="51"/>
      <c r="V41" s="30"/>
      <c r="W41" s="30"/>
      <c r="X41" s="30"/>
      <c r="Y41" s="30"/>
      <c r="Z41" s="30"/>
      <c r="AA41" s="30"/>
      <c r="AB41" s="30"/>
      <c r="AC41" s="30"/>
      <c r="AD41" s="29"/>
      <c r="AE41" s="29"/>
    </row>
    <row r="42" spans="1:31" ht="16" customHeight="1">
      <c r="A42" s="110"/>
      <c r="B42" s="58" t="s">
        <v>63</v>
      </c>
      <c r="C42" s="50"/>
      <c r="D42" s="50"/>
      <c r="E42" s="63" t="s">
        <v>44</v>
      </c>
      <c r="F42" s="51">
        <f>1464.8+836.349+984.933</f>
        <v>3286.0819999999999</v>
      </c>
      <c r="G42" s="51">
        <f>2029.4+1886.98</f>
        <v>3916.38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29"/>
      <c r="W42" s="29"/>
      <c r="X42" s="29"/>
      <c r="Y42" s="29"/>
      <c r="Z42" s="30"/>
      <c r="AA42" s="30"/>
      <c r="AB42" s="29"/>
      <c r="AC42" s="29"/>
      <c r="AD42" s="29"/>
      <c r="AE42" s="29"/>
    </row>
    <row r="43" spans="1:31" ht="16" customHeight="1">
      <c r="A43" s="110"/>
      <c r="B43" s="59"/>
      <c r="C43" s="50" t="s">
        <v>77</v>
      </c>
      <c r="D43" s="50"/>
      <c r="E43" s="63"/>
      <c r="F43" s="51">
        <f>836.349</f>
        <v>836.34900000000005</v>
      </c>
      <c r="G43" s="51">
        <f>1886.98</f>
        <v>1886.98</v>
      </c>
      <c r="H43" s="51"/>
      <c r="I43" s="51"/>
      <c r="J43" s="65"/>
      <c r="K43" s="65"/>
      <c r="L43" s="51"/>
      <c r="M43" s="51"/>
      <c r="N43" s="51"/>
      <c r="O43" s="51"/>
      <c r="P43" s="65"/>
      <c r="Q43" s="65"/>
      <c r="R43" s="51"/>
      <c r="S43" s="51"/>
      <c r="T43" s="51"/>
      <c r="U43" s="51"/>
      <c r="V43" s="29"/>
      <c r="W43" s="29"/>
      <c r="X43" s="30"/>
      <c r="Y43" s="29"/>
      <c r="Z43" s="30"/>
      <c r="AA43" s="30"/>
      <c r="AB43" s="29"/>
      <c r="AC43" s="29"/>
      <c r="AD43" s="30"/>
      <c r="AE43" s="30"/>
    </row>
    <row r="44" spans="1:31" ht="16" customHeight="1">
      <c r="A44" s="110"/>
      <c r="B44" s="50" t="s">
        <v>74</v>
      </c>
      <c r="C44" s="50"/>
      <c r="D44" s="50"/>
      <c r="E44" s="63" t="s">
        <v>164</v>
      </c>
      <c r="F44" s="65">
        <f t="shared" ref="F44:G44" si="11">F40-F42</f>
        <v>-1604.7139999999999</v>
      </c>
      <c r="G44" s="65">
        <f t="shared" si="11"/>
        <v>-1473.6120000000001</v>
      </c>
      <c r="H44" s="65">
        <f t="shared" ref="H44:U44" si="12">H40-H42</f>
        <v>0</v>
      </c>
      <c r="I44" s="65">
        <f t="shared" si="12"/>
        <v>0</v>
      </c>
      <c r="J44" s="65">
        <f t="shared" si="12"/>
        <v>0</v>
      </c>
      <c r="K44" s="65">
        <f t="shared" si="12"/>
        <v>0</v>
      </c>
      <c r="L44" s="65">
        <f t="shared" si="12"/>
        <v>0</v>
      </c>
      <c r="M44" s="65">
        <f t="shared" si="12"/>
        <v>0</v>
      </c>
      <c r="N44" s="65">
        <f t="shared" ref="N44:S44" si="13">N40-N42</f>
        <v>0</v>
      </c>
      <c r="O44" s="65">
        <f t="shared" si="13"/>
        <v>0</v>
      </c>
      <c r="P44" s="65">
        <f t="shared" si="13"/>
        <v>0</v>
      </c>
      <c r="Q44" s="65">
        <f t="shared" si="13"/>
        <v>0</v>
      </c>
      <c r="R44" s="65">
        <f t="shared" si="13"/>
        <v>0</v>
      </c>
      <c r="S44" s="65">
        <f t="shared" si="13"/>
        <v>0</v>
      </c>
      <c r="T44" s="65">
        <f t="shared" si="12"/>
        <v>0</v>
      </c>
      <c r="U44" s="65">
        <f t="shared" si="12"/>
        <v>0</v>
      </c>
      <c r="V44" s="30"/>
      <c r="W44" s="30"/>
      <c r="X44" s="29"/>
      <c r="Y44" s="29"/>
      <c r="Z44" s="30"/>
      <c r="AA44" s="30"/>
      <c r="AB44" s="29"/>
      <c r="AC44" s="29"/>
      <c r="AD44" s="29"/>
      <c r="AE44" s="29"/>
    </row>
    <row r="45" spans="1:31" ht="16" customHeight="1">
      <c r="A45" s="109" t="s">
        <v>86</v>
      </c>
      <c r="B45" s="44" t="s">
        <v>78</v>
      </c>
      <c r="C45" s="44"/>
      <c r="D45" s="44"/>
      <c r="E45" s="63" t="s">
        <v>165</v>
      </c>
      <c r="F45" s="51">
        <f t="shared" ref="F45:G45" si="14">F39+F44</f>
        <v>-53.135000000000218</v>
      </c>
      <c r="G45" s="51">
        <f t="shared" si="14"/>
        <v>-43.59699999999998</v>
      </c>
      <c r="H45" s="51">
        <f t="shared" ref="H45:U45" si="15">H39+H44</f>
        <v>0</v>
      </c>
      <c r="I45" s="51">
        <f t="shared" si="15"/>
        <v>0</v>
      </c>
      <c r="J45" s="51">
        <f t="shared" si="15"/>
        <v>0</v>
      </c>
      <c r="K45" s="51">
        <f t="shared" si="15"/>
        <v>0</v>
      </c>
      <c r="L45" s="51">
        <f t="shared" si="15"/>
        <v>0</v>
      </c>
      <c r="M45" s="51">
        <f t="shared" si="15"/>
        <v>0</v>
      </c>
      <c r="N45" s="51">
        <f t="shared" ref="N45:S45" si="16">N39+N44</f>
        <v>0</v>
      </c>
      <c r="O45" s="51">
        <f t="shared" si="16"/>
        <v>0</v>
      </c>
      <c r="P45" s="51">
        <f t="shared" si="16"/>
        <v>0</v>
      </c>
      <c r="Q45" s="51">
        <f t="shared" si="16"/>
        <v>0</v>
      </c>
      <c r="R45" s="51">
        <f t="shared" si="16"/>
        <v>0</v>
      </c>
      <c r="S45" s="51">
        <f t="shared" si="16"/>
        <v>0</v>
      </c>
      <c r="T45" s="51">
        <f t="shared" si="15"/>
        <v>0</v>
      </c>
      <c r="U45" s="51">
        <f t="shared" si="15"/>
        <v>0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 ht="16" customHeight="1">
      <c r="A46" s="110"/>
      <c r="B46" s="50" t="s">
        <v>79</v>
      </c>
      <c r="C46" s="50"/>
      <c r="D46" s="50"/>
      <c r="E46" s="50"/>
      <c r="F46" s="65"/>
      <c r="G46" s="65">
        <v>0</v>
      </c>
      <c r="H46" s="65"/>
      <c r="I46" s="65"/>
      <c r="J46" s="65"/>
      <c r="K46" s="65"/>
      <c r="L46" s="51"/>
      <c r="M46" s="51"/>
      <c r="N46" s="65"/>
      <c r="O46" s="65"/>
      <c r="P46" s="65"/>
      <c r="Q46" s="65"/>
      <c r="R46" s="51"/>
      <c r="S46" s="51"/>
      <c r="T46" s="65"/>
      <c r="U46" s="65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ht="16" customHeight="1">
      <c r="A47" s="110"/>
      <c r="B47" s="50" t="s">
        <v>80</v>
      </c>
      <c r="C47" s="50"/>
      <c r="D47" s="50"/>
      <c r="E47" s="50"/>
      <c r="F47" s="51">
        <f>96.572</f>
        <v>96.572000000000003</v>
      </c>
      <c r="G47" s="51">
        <f>149.706</f>
        <v>149.70599999999999</v>
      </c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29"/>
      <c r="W47" s="29"/>
      <c r="X47" s="29"/>
      <c r="Y47" s="29"/>
      <c r="Z47" s="29"/>
      <c r="AA47" s="29"/>
      <c r="AB47" s="29"/>
      <c r="AC47" s="29"/>
      <c r="AD47" s="29"/>
      <c r="AE47" s="29"/>
    </row>
    <row r="48" spans="1:31" ht="16" customHeight="1">
      <c r="A48" s="110"/>
      <c r="B48" s="50" t="s">
        <v>81</v>
      </c>
      <c r="C48" s="50"/>
      <c r="D48" s="50"/>
      <c r="E48" s="50"/>
      <c r="F48" s="51">
        <f>F47</f>
        <v>96.572000000000003</v>
      </c>
      <c r="G48" s="51">
        <f>G47</f>
        <v>149.70599999999999</v>
      </c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29"/>
      <c r="W48" s="29"/>
      <c r="X48" s="29"/>
      <c r="Y48" s="29"/>
      <c r="Z48" s="29"/>
      <c r="AA48" s="29"/>
      <c r="AB48" s="29"/>
      <c r="AC48" s="29"/>
      <c r="AD48" s="29"/>
      <c r="AE48" s="29"/>
    </row>
    <row r="49" spans="1:21" ht="16" customHeight="1">
      <c r="A49" s="8" t="s">
        <v>166</v>
      </c>
      <c r="U49" s="6"/>
    </row>
    <row r="50" spans="1:21" ht="16" customHeight="1">
      <c r="A50" s="8"/>
    </row>
  </sheetData>
  <mergeCells count="40">
    <mergeCell ref="J6:K6"/>
    <mergeCell ref="L6:M6"/>
    <mergeCell ref="T6:U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T25:T26"/>
    <mergeCell ref="A6:E7"/>
    <mergeCell ref="F6:G6"/>
    <mergeCell ref="H6:I6"/>
    <mergeCell ref="A32:A39"/>
    <mergeCell ref="A40:A44"/>
    <mergeCell ref="A45:A48"/>
    <mergeCell ref="U25:U26"/>
    <mergeCell ref="A30:E31"/>
    <mergeCell ref="F30:G30"/>
    <mergeCell ref="H30:I30"/>
    <mergeCell ref="J30:K30"/>
    <mergeCell ref="L30:M30"/>
    <mergeCell ref="T30:U30"/>
    <mergeCell ref="N30:O30"/>
    <mergeCell ref="P30:Q30"/>
    <mergeCell ref="R30:S30"/>
    <mergeCell ref="N6:O6"/>
    <mergeCell ref="P6:Q6"/>
    <mergeCell ref="R6:S6"/>
    <mergeCell ref="N25:N26"/>
    <mergeCell ref="O25:O26"/>
    <mergeCell ref="P25:P26"/>
    <mergeCell ref="Q25:Q26"/>
    <mergeCell ref="R25:R26"/>
    <mergeCell ref="S25:S26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53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/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1" t="s">
        <v>0</v>
      </c>
      <c r="B1" s="31"/>
      <c r="C1" s="86" t="s">
        <v>251</v>
      </c>
      <c r="D1" s="39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0"/>
      <c r="B5" s="40" t="s">
        <v>247</v>
      </c>
      <c r="C5" s="40"/>
      <c r="D5" s="40"/>
      <c r="H5" s="15"/>
      <c r="L5" s="15"/>
      <c r="N5" s="15" t="s">
        <v>168</v>
      </c>
    </row>
    <row r="6" spans="1:14" ht="15" customHeight="1">
      <c r="A6" s="41"/>
      <c r="B6" s="42"/>
      <c r="C6" s="42"/>
      <c r="D6" s="83"/>
      <c r="E6" s="119" t="s">
        <v>268</v>
      </c>
      <c r="F6" s="119"/>
      <c r="G6" s="119" t="s">
        <v>269</v>
      </c>
      <c r="H6" s="119"/>
      <c r="I6" s="119" t="s">
        <v>265</v>
      </c>
      <c r="J6" s="119"/>
      <c r="K6" s="119" t="s">
        <v>256</v>
      </c>
      <c r="L6" s="119"/>
      <c r="M6" s="119"/>
      <c r="N6" s="119"/>
    </row>
    <row r="7" spans="1:14" ht="15" customHeight="1">
      <c r="A7" s="18"/>
      <c r="B7" s="19"/>
      <c r="C7" s="19"/>
      <c r="D7" s="57"/>
      <c r="E7" s="34" t="s">
        <v>235</v>
      </c>
      <c r="F7" s="34" t="s">
        <v>236</v>
      </c>
      <c r="G7" s="34" t="s">
        <v>235</v>
      </c>
      <c r="H7" s="34" t="s">
        <v>236</v>
      </c>
      <c r="I7" s="34" t="s">
        <v>235</v>
      </c>
      <c r="J7" s="34" t="s">
        <v>236</v>
      </c>
      <c r="K7" s="34" t="s">
        <v>235</v>
      </c>
      <c r="L7" s="34" t="s">
        <v>236</v>
      </c>
      <c r="M7" s="34" t="s">
        <v>235</v>
      </c>
      <c r="N7" s="34" t="s">
        <v>236</v>
      </c>
    </row>
    <row r="8" spans="1:14" ht="18" customHeight="1">
      <c r="A8" s="94" t="s">
        <v>169</v>
      </c>
      <c r="B8" s="78" t="s">
        <v>170</v>
      </c>
      <c r="C8" s="79"/>
      <c r="D8" s="79"/>
      <c r="E8" s="80">
        <v>1</v>
      </c>
      <c r="F8" s="80">
        <v>1</v>
      </c>
      <c r="G8" s="80">
        <v>1</v>
      </c>
      <c r="H8" s="80">
        <v>1</v>
      </c>
      <c r="I8" s="80">
        <v>60</v>
      </c>
      <c r="J8" s="70">
        <v>60</v>
      </c>
      <c r="K8" s="80">
        <v>7</v>
      </c>
      <c r="L8" s="80">
        <v>7</v>
      </c>
      <c r="M8" s="80"/>
      <c r="N8" s="80"/>
    </row>
    <row r="9" spans="1:14" ht="18" customHeight="1">
      <c r="A9" s="94"/>
      <c r="B9" s="94" t="s">
        <v>171</v>
      </c>
      <c r="C9" s="50" t="s">
        <v>172</v>
      </c>
      <c r="D9" s="50"/>
      <c r="E9" s="80">
        <v>55561</v>
      </c>
      <c r="F9" s="80">
        <v>55561</v>
      </c>
      <c r="G9" s="80">
        <v>105</v>
      </c>
      <c r="H9" s="80">
        <v>105</v>
      </c>
      <c r="I9" s="70">
        <v>1509</v>
      </c>
      <c r="J9" s="70">
        <v>1509</v>
      </c>
      <c r="K9" s="80">
        <v>15</v>
      </c>
      <c r="L9" s="80">
        <v>15</v>
      </c>
      <c r="M9" s="80"/>
      <c r="N9" s="80"/>
    </row>
    <row r="10" spans="1:14" ht="18" customHeight="1">
      <c r="A10" s="94"/>
      <c r="B10" s="94"/>
      <c r="C10" s="50" t="s">
        <v>173</v>
      </c>
      <c r="D10" s="50"/>
      <c r="E10" s="80">
        <v>55561</v>
      </c>
      <c r="F10" s="80">
        <v>55561</v>
      </c>
      <c r="G10" s="80">
        <v>105</v>
      </c>
      <c r="H10" s="80">
        <v>105</v>
      </c>
      <c r="I10" s="70">
        <v>1250</v>
      </c>
      <c r="J10" s="70">
        <v>1250</v>
      </c>
      <c r="K10" s="80">
        <v>8</v>
      </c>
      <c r="L10" s="80">
        <v>8</v>
      </c>
      <c r="M10" s="80"/>
      <c r="N10" s="80"/>
    </row>
    <row r="11" spans="1:14" ht="18" customHeight="1">
      <c r="A11" s="94"/>
      <c r="B11" s="94"/>
      <c r="C11" s="50" t="s">
        <v>174</v>
      </c>
      <c r="D11" s="50"/>
      <c r="E11" s="80">
        <v>0</v>
      </c>
      <c r="F11" s="80">
        <v>0</v>
      </c>
      <c r="G11" s="80">
        <v>0</v>
      </c>
      <c r="H11" s="80">
        <v>0</v>
      </c>
      <c r="I11" s="70">
        <v>14</v>
      </c>
      <c r="J11" s="70">
        <v>14</v>
      </c>
      <c r="K11" s="80">
        <v>7</v>
      </c>
      <c r="L11" s="80">
        <v>7</v>
      </c>
      <c r="M11" s="80"/>
      <c r="N11" s="80"/>
    </row>
    <row r="12" spans="1:14" ht="18" customHeight="1">
      <c r="A12" s="94"/>
      <c r="B12" s="94"/>
      <c r="C12" s="50" t="s">
        <v>175</v>
      </c>
      <c r="D12" s="50"/>
      <c r="E12" s="80">
        <v>0</v>
      </c>
      <c r="F12" s="80">
        <v>0</v>
      </c>
      <c r="G12" s="80">
        <v>0</v>
      </c>
      <c r="H12" s="80">
        <v>0</v>
      </c>
      <c r="I12" s="70">
        <v>245</v>
      </c>
      <c r="J12" s="70">
        <v>245</v>
      </c>
      <c r="K12" s="89">
        <v>0</v>
      </c>
      <c r="L12" s="80">
        <v>0</v>
      </c>
      <c r="M12" s="80"/>
      <c r="N12" s="80"/>
    </row>
    <row r="13" spans="1:14" ht="18" customHeight="1">
      <c r="A13" s="94"/>
      <c r="B13" s="94"/>
      <c r="C13" s="50" t="s">
        <v>176</v>
      </c>
      <c r="D13" s="50"/>
      <c r="E13" s="80">
        <v>0</v>
      </c>
      <c r="F13" s="80">
        <v>0</v>
      </c>
      <c r="G13" s="80">
        <v>0</v>
      </c>
      <c r="H13" s="80">
        <v>0</v>
      </c>
      <c r="I13" s="70" t="s">
        <v>263</v>
      </c>
      <c r="J13" s="70" t="s">
        <v>263</v>
      </c>
      <c r="K13" s="80">
        <v>0</v>
      </c>
      <c r="L13" s="80">
        <v>0</v>
      </c>
      <c r="M13" s="80"/>
      <c r="N13" s="80"/>
    </row>
    <row r="14" spans="1:14" ht="18" customHeight="1">
      <c r="A14" s="94"/>
      <c r="B14" s="94"/>
      <c r="C14" s="50" t="s">
        <v>177</v>
      </c>
      <c r="D14" s="50"/>
      <c r="E14" s="80">
        <v>0</v>
      </c>
      <c r="F14" s="80">
        <v>0</v>
      </c>
      <c r="G14" s="80">
        <v>0</v>
      </c>
      <c r="H14" s="80">
        <v>0</v>
      </c>
      <c r="I14" s="70" t="s">
        <v>263</v>
      </c>
      <c r="J14" s="70" t="s">
        <v>263</v>
      </c>
      <c r="K14" s="89">
        <v>0</v>
      </c>
      <c r="L14" s="80">
        <v>0</v>
      </c>
      <c r="M14" s="80"/>
      <c r="N14" s="80"/>
    </row>
    <row r="15" spans="1:14" ht="18" customHeight="1">
      <c r="A15" s="94" t="s">
        <v>178</v>
      </c>
      <c r="B15" s="94" t="s">
        <v>179</v>
      </c>
      <c r="C15" s="50" t="s">
        <v>180</v>
      </c>
      <c r="D15" s="50"/>
      <c r="E15" s="51">
        <v>4206</v>
      </c>
      <c r="F15" s="51">
        <v>3027</v>
      </c>
      <c r="G15" s="51">
        <v>7683</v>
      </c>
      <c r="H15" s="51">
        <v>9037</v>
      </c>
      <c r="I15" s="51">
        <v>905</v>
      </c>
      <c r="J15" s="70">
        <v>636</v>
      </c>
      <c r="K15" s="51">
        <v>8701</v>
      </c>
      <c r="L15" s="51">
        <v>8832</v>
      </c>
      <c r="M15" s="51"/>
      <c r="N15" s="51"/>
    </row>
    <row r="16" spans="1:14" ht="18" customHeight="1">
      <c r="A16" s="94"/>
      <c r="B16" s="94"/>
      <c r="C16" s="50" t="s">
        <v>181</v>
      </c>
      <c r="D16" s="50"/>
      <c r="E16" s="51">
        <v>193904</v>
      </c>
      <c r="F16" s="51">
        <v>193774</v>
      </c>
      <c r="G16" s="51">
        <v>6294</v>
      </c>
      <c r="H16" s="51">
        <v>6299</v>
      </c>
      <c r="I16" s="51">
        <v>579</v>
      </c>
      <c r="J16" s="70">
        <v>610</v>
      </c>
      <c r="K16" s="51">
        <v>88464</v>
      </c>
      <c r="L16" s="51">
        <v>89670</v>
      </c>
      <c r="M16" s="51"/>
      <c r="N16" s="51"/>
    </row>
    <row r="17" spans="1:15" ht="18" customHeight="1">
      <c r="A17" s="94"/>
      <c r="B17" s="94"/>
      <c r="C17" s="50" t="s">
        <v>182</v>
      </c>
      <c r="D17" s="50"/>
      <c r="E17" s="80">
        <v>0</v>
      </c>
      <c r="F17" s="80">
        <v>0</v>
      </c>
      <c r="G17" s="80">
        <v>0</v>
      </c>
      <c r="H17" s="80">
        <v>0</v>
      </c>
      <c r="I17" s="51">
        <v>0</v>
      </c>
      <c r="J17" s="70" t="s">
        <v>263</v>
      </c>
      <c r="K17" s="90">
        <v>0</v>
      </c>
      <c r="L17" s="51">
        <v>0</v>
      </c>
      <c r="M17" s="51"/>
      <c r="N17" s="51"/>
    </row>
    <row r="18" spans="1:15" ht="18" customHeight="1">
      <c r="A18" s="94"/>
      <c r="B18" s="94"/>
      <c r="C18" s="50" t="s">
        <v>183</v>
      </c>
      <c r="D18" s="50"/>
      <c r="E18" s="51">
        <v>198110</v>
      </c>
      <c r="F18" s="51">
        <v>196801</v>
      </c>
      <c r="G18" s="51">
        <f>SUM(G15:G17)</f>
        <v>13977</v>
      </c>
      <c r="H18" s="51">
        <v>15336</v>
      </c>
      <c r="I18" s="51">
        <f>I15+I16+I17</f>
        <v>1484</v>
      </c>
      <c r="J18" s="70">
        <v>1246</v>
      </c>
      <c r="K18" s="51">
        <v>97165</v>
      </c>
      <c r="L18" s="51">
        <v>98512</v>
      </c>
      <c r="M18" s="51"/>
      <c r="N18" s="51"/>
    </row>
    <row r="19" spans="1:15" ht="18" customHeight="1">
      <c r="A19" s="94"/>
      <c r="B19" s="94" t="s">
        <v>184</v>
      </c>
      <c r="C19" s="50" t="s">
        <v>185</v>
      </c>
      <c r="D19" s="50"/>
      <c r="E19" s="51">
        <v>9140</v>
      </c>
      <c r="F19" s="51">
        <v>7209</v>
      </c>
      <c r="G19" s="51">
        <v>2159</v>
      </c>
      <c r="H19" s="51">
        <v>202</v>
      </c>
      <c r="I19" s="51">
        <v>1189</v>
      </c>
      <c r="J19" s="70">
        <v>871</v>
      </c>
      <c r="K19" s="51">
        <v>18971</v>
      </c>
      <c r="L19" s="51">
        <v>17246</v>
      </c>
      <c r="M19" s="51"/>
      <c r="N19" s="51"/>
    </row>
    <row r="20" spans="1:15" ht="18" customHeight="1">
      <c r="A20" s="94"/>
      <c r="B20" s="94"/>
      <c r="C20" s="50" t="s">
        <v>186</v>
      </c>
      <c r="D20" s="50"/>
      <c r="E20" s="51">
        <v>22252</v>
      </c>
      <c r="F20" s="51">
        <v>22423</v>
      </c>
      <c r="G20" s="51">
        <v>4474</v>
      </c>
      <c r="H20" s="51">
        <v>7984</v>
      </c>
      <c r="I20" s="51">
        <v>264</v>
      </c>
      <c r="J20" s="70">
        <v>318</v>
      </c>
      <c r="K20" s="51">
        <v>70627</v>
      </c>
      <c r="L20" s="51">
        <v>73815</v>
      </c>
      <c r="M20" s="51"/>
      <c r="N20" s="51"/>
    </row>
    <row r="21" spans="1:15" ht="18" customHeight="1">
      <c r="A21" s="94"/>
      <c r="B21" s="94"/>
      <c r="C21" s="50" t="s">
        <v>187</v>
      </c>
      <c r="D21" s="50"/>
      <c r="E21" s="81">
        <v>110722</v>
      </c>
      <c r="F21" s="81">
        <v>111172</v>
      </c>
      <c r="G21" s="81">
        <v>0</v>
      </c>
      <c r="H21" s="81">
        <v>0</v>
      </c>
      <c r="I21" s="81">
        <v>0</v>
      </c>
      <c r="J21" s="69" t="s">
        <v>263</v>
      </c>
      <c r="K21" s="81">
        <v>0</v>
      </c>
      <c r="L21" s="81">
        <v>0</v>
      </c>
      <c r="M21" s="81"/>
      <c r="N21" s="81"/>
    </row>
    <row r="22" spans="1:15" ht="18" customHeight="1">
      <c r="A22" s="94"/>
      <c r="B22" s="94"/>
      <c r="C22" s="44" t="s">
        <v>188</v>
      </c>
      <c r="D22" s="44"/>
      <c r="E22" s="51">
        <f>SUM(E19:E21)</f>
        <v>142114</v>
      </c>
      <c r="F22" s="51">
        <f>SUM(F19:F21)</f>
        <v>140804</v>
      </c>
      <c r="G22" s="51">
        <f>SUM(G19:G21)</f>
        <v>6633</v>
      </c>
      <c r="H22" s="51">
        <v>8186</v>
      </c>
      <c r="I22" s="51">
        <f>I19+I20+I21</f>
        <v>1453</v>
      </c>
      <c r="J22" s="70">
        <v>1189</v>
      </c>
      <c r="K22" s="51">
        <v>89599</v>
      </c>
      <c r="L22" s="51">
        <v>91061</v>
      </c>
      <c r="M22" s="51"/>
      <c r="N22" s="51"/>
    </row>
    <row r="23" spans="1:15" ht="18" customHeight="1">
      <c r="A23" s="94"/>
      <c r="B23" s="94" t="s">
        <v>189</v>
      </c>
      <c r="C23" s="50" t="s">
        <v>190</v>
      </c>
      <c r="D23" s="50"/>
      <c r="E23" s="51">
        <v>55561</v>
      </c>
      <c r="F23" s="51">
        <v>55561</v>
      </c>
      <c r="G23" s="51">
        <v>105</v>
      </c>
      <c r="H23" s="51">
        <v>105</v>
      </c>
      <c r="I23" s="51">
        <v>1509</v>
      </c>
      <c r="J23" s="70">
        <v>1509</v>
      </c>
      <c r="K23" s="51">
        <v>15</v>
      </c>
      <c r="L23" s="51">
        <v>15</v>
      </c>
      <c r="M23" s="51"/>
      <c r="N23" s="51"/>
    </row>
    <row r="24" spans="1:15" ht="18" customHeight="1">
      <c r="A24" s="94"/>
      <c r="B24" s="94"/>
      <c r="C24" s="50" t="s">
        <v>191</v>
      </c>
      <c r="D24" s="50"/>
      <c r="E24" s="51">
        <v>435</v>
      </c>
      <c r="F24" s="51">
        <v>435</v>
      </c>
      <c r="G24" s="51">
        <v>7240</v>
      </c>
      <c r="H24" s="51">
        <v>7045</v>
      </c>
      <c r="I24" s="51">
        <v>-1478</v>
      </c>
      <c r="J24" s="70" t="s">
        <v>264</v>
      </c>
      <c r="K24" s="51">
        <v>7551</v>
      </c>
      <c r="L24" s="51">
        <v>7436</v>
      </c>
      <c r="M24" s="51"/>
      <c r="N24" s="51"/>
    </row>
    <row r="25" spans="1:15" ht="18" customHeight="1">
      <c r="A25" s="94"/>
      <c r="B25" s="94"/>
      <c r="C25" s="50" t="s">
        <v>192</v>
      </c>
      <c r="D25" s="50"/>
      <c r="E25" s="80">
        <v>0</v>
      </c>
      <c r="F25" s="80">
        <v>0</v>
      </c>
      <c r="G25" s="80">
        <v>0</v>
      </c>
      <c r="H25" s="80">
        <v>0</v>
      </c>
      <c r="I25" s="51">
        <v>0</v>
      </c>
      <c r="J25" s="70" t="s">
        <v>263</v>
      </c>
      <c r="K25" s="90">
        <v>0</v>
      </c>
      <c r="L25" s="51">
        <v>0</v>
      </c>
      <c r="M25" s="51"/>
      <c r="N25" s="51"/>
    </row>
    <row r="26" spans="1:15" ht="18" customHeight="1">
      <c r="A26" s="94"/>
      <c r="B26" s="94"/>
      <c r="C26" s="50" t="s">
        <v>193</v>
      </c>
      <c r="D26" s="50"/>
      <c r="E26" s="51">
        <v>55996</v>
      </c>
      <c r="F26" s="51">
        <v>55996</v>
      </c>
      <c r="G26" s="51">
        <f>SUM(G23:G25)</f>
        <v>7345</v>
      </c>
      <c r="H26" s="51">
        <v>7150</v>
      </c>
      <c r="I26" s="51">
        <f>I23+I24+I25</f>
        <v>31</v>
      </c>
      <c r="J26" s="70">
        <v>57</v>
      </c>
      <c r="K26" s="51">
        <v>7566</v>
      </c>
      <c r="L26" s="51">
        <v>7451</v>
      </c>
      <c r="M26" s="51"/>
      <c r="N26" s="51"/>
    </row>
    <row r="27" spans="1:15" ht="18" customHeight="1">
      <c r="A27" s="94"/>
      <c r="B27" s="50" t="s">
        <v>194</v>
      </c>
      <c r="C27" s="50"/>
      <c r="D27" s="50"/>
      <c r="E27" s="51">
        <v>198110</v>
      </c>
      <c r="F27" s="51">
        <v>196800</v>
      </c>
      <c r="G27" s="51">
        <f>G22+G26</f>
        <v>13978</v>
      </c>
      <c r="H27" s="51">
        <v>15336</v>
      </c>
      <c r="I27" s="51">
        <f>I22+I26</f>
        <v>1484</v>
      </c>
      <c r="J27" s="70">
        <v>1246</v>
      </c>
      <c r="K27" s="51">
        <v>97165</v>
      </c>
      <c r="L27" s="51">
        <v>98512</v>
      </c>
      <c r="M27" s="51"/>
      <c r="N27" s="51"/>
    </row>
    <row r="28" spans="1:15" ht="18" customHeight="1">
      <c r="A28" s="94" t="s">
        <v>195</v>
      </c>
      <c r="B28" s="94" t="s">
        <v>196</v>
      </c>
      <c r="C28" s="50" t="s">
        <v>197</v>
      </c>
      <c r="D28" s="82" t="s">
        <v>40</v>
      </c>
      <c r="E28" s="51">
        <v>5933</v>
      </c>
      <c r="F28" s="51">
        <v>5844</v>
      </c>
      <c r="G28" s="51">
        <v>3452</v>
      </c>
      <c r="H28" s="51">
        <v>5785</v>
      </c>
      <c r="I28" s="51">
        <v>3754</v>
      </c>
      <c r="J28" s="70">
        <v>3566</v>
      </c>
      <c r="K28" s="51">
        <v>7742</v>
      </c>
      <c r="L28" s="51">
        <v>9451</v>
      </c>
      <c r="M28" s="51"/>
      <c r="N28" s="51"/>
    </row>
    <row r="29" spans="1:15" ht="18" customHeight="1">
      <c r="A29" s="94"/>
      <c r="B29" s="94"/>
      <c r="C29" s="50" t="s">
        <v>198</v>
      </c>
      <c r="D29" s="82" t="s">
        <v>41</v>
      </c>
      <c r="E29" s="51">
        <v>5788</v>
      </c>
      <c r="F29" s="51">
        <v>5554</v>
      </c>
      <c r="G29" s="51">
        <v>3195</v>
      </c>
      <c r="H29" s="51">
        <v>5574</v>
      </c>
      <c r="I29" s="51">
        <v>409</v>
      </c>
      <c r="J29" s="70">
        <v>403</v>
      </c>
      <c r="K29" s="51">
        <v>6639</v>
      </c>
      <c r="L29" s="51">
        <v>8307</v>
      </c>
      <c r="M29" s="51"/>
      <c r="N29" s="51"/>
    </row>
    <row r="30" spans="1:15" ht="18" customHeight="1">
      <c r="A30" s="94"/>
      <c r="B30" s="94"/>
      <c r="C30" s="50" t="s">
        <v>199</v>
      </c>
      <c r="D30" s="82" t="s">
        <v>200</v>
      </c>
      <c r="E30" s="51">
        <v>131</v>
      </c>
      <c r="F30" s="51">
        <v>142</v>
      </c>
      <c r="G30" s="51">
        <v>125</v>
      </c>
      <c r="H30" s="51">
        <v>127</v>
      </c>
      <c r="I30" s="51">
        <v>3396</v>
      </c>
      <c r="J30" s="70">
        <v>3121</v>
      </c>
      <c r="K30" s="51">
        <v>261</v>
      </c>
      <c r="L30" s="51">
        <v>283</v>
      </c>
      <c r="M30" s="51"/>
      <c r="N30" s="51"/>
    </row>
    <row r="31" spans="1:15" ht="18" customHeight="1">
      <c r="A31" s="94"/>
      <c r="B31" s="94"/>
      <c r="C31" s="44" t="s">
        <v>201</v>
      </c>
      <c r="D31" s="82" t="s">
        <v>202</v>
      </c>
      <c r="E31" s="51">
        <f t="shared" ref="E31:G31" si="0">E28-E29-E30</f>
        <v>14</v>
      </c>
      <c r="F31" s="51">
        <v>148</v>
      </c>
      <c r="G31" s="51">
        <f t="shared" si="0"/>
        <v>132</v>
      </c>
      <c r="H31" s="51">
        <f>H28-H29-H30</f>
        <v>84</v>
      </c>
      <c r="I31" s="51">
        <f t="shared" ref="I31" si="1">I28-I29-I30</f>
        <v>-51</v>
      </c>
      <c r="J31" s="70">
        <v>41</v>
      </c>
      <c r="K31" s="51">
        <f t="shared" ref="K31:N31" si="2">K28-K29-K30</f>
        <v>842</v>
      </c>
      <c r="L31" s="51">
        <v>861</v>
      </c>
      <c r="M31" s="51">
        <f t="shared" si="2"/>
        <v>0</v>
      </c>
      <c r="N31" s="51">
        <f t="shared" si="2"/>
        <v>0</v>
      </c>
      <c r="O31" s="7"/>
    </row>
    <row r="32" spans="1:15" ht="18" customHeight="1">
      <c r="A32" s="94"/>
      <c r="B32" s="94"/>
      <c r="C32" s="50" t="s">
        <v>203</v>
      </c>
      <c r="D32" s="82" t="s">
        <v>204</v>
      </c>
      <c r="E32" s="51">
        <v>14</v>
      </c>
      <c r="F32" s="51">
        <v>16</v>
      </c>
      <c r="G32" s="51">
        <v>1</v>
      </c>
      <c r="H32" s="51">
        <v>2</v>
      </c>
      <c r="I32" s="51">
        <v>12</v>
      </c>
      <c r="J32" s="70">
        <v>15</v>
      </c>
      <c r="K32" s="51">
        <v>5</v>
      </c>
      <c r="L32" s="51">
        <v>5</v>
      </c>
      <c r="M32" s="51"/>
      <c r="N32" s="51"/>
    </row>
    <row r="33" spans="1:14" ht="18" customHeight="1">
      <c r="A33" s="94"/>
      <c r="B33" s="94"/>
      <c r="C33" s="50" t="s">
        <v>205</v>
      </c>
      <c r="D33" s="82" t="s">
        <v>206</v>
      </c>
      <c r="E33" s="51">
        <v>28</v>
      </c>
      <c r="F33" s="51">
        <v>163</v>
      </c>
      <c r="G33" s="51">
        <v>0</v>
      </c>
      <c r="H33" s="51">
        <v>0.03</v>
      </c>
      <c r="I33" s="51">
        <v>3</v>
      </c>
      <c r="J33" s="70">
        <v>1</v>
      </c>
      <c r="K33" s="51">
        <v>332</v>
      </c>
      <c r="L33" s="51">
        <v>353</v>
      </c>
      <c r="M33" s="51"/>
      <c r="N33" s="51"/>
    </row>
    <row r="34" spans="1:14" ht="18" customHeight="1">
      <c r="A34" s="94"/>
      <c r="B34" s="94"/>
      <c r="C34" s="44" t="s">
        <v>207</v>
      </c>
      <c r="D34" s="82" t="s">
        <v>208</v>
      </c>
      <c r="E34" s="51">
        <f t="shared" ref="E34:I34" si="3">E31+E32-E33</f>
        <v>0</v>
      </c>
      <c r="F34" s="51">
        <f t="shared" si="3"/>
        <v>1</v>
      </c>
      <c r="G34" s="51">
        <f t="shared" si="3"/>
        <v>133</v>
      </c>
      <c r="H34" s="51">
        <f t="shared" si="3"/>
        <v>85.97</v>
      </c>
      <c r="I34" s="51">
        <f t="shared" si="3"/>
        <v>-42</v>
      </c>
      <c r="J34" s="70">
        <v>56</v>
      </c>
      <c r="K34" s="51">
        <f t="shared" ref="K34:N34" si="4">K31+K32-K33</f>
        <v>515</v>
      </c>
      <c r="L34" s="51">
        <f t="shared" si="4"/>
        <v>513</v>
      </c>
      <c r="M34" s="51">
        <f t="shared" si="4"/>
        <v>0</v>
      </c>
      <c r="N34" s="51">
        <f t="shared" si="4"/>
        <v>0</v>
      </c>
    </row>
    <row r="35" spans="1:14" ht="18" customHeight="1">
      <c r="A35" s="94"/>
      <c r="B35" s="94" t="s">
        <v>209</v>
      </c>
      <c r="C35" s="50" t="s">
        <v>210</v>
      </c>
      <c r="D35" s="82" t="s">
        <v>211</v>
      </c>
      <c r="E35" s="51">
        <v>0</v>
      </c>
      <c r="F35" s="51">
        <v>0</v>
      </c>
      <c r="G35" s="51">
        <v>62</v>
      </c>
      <c r="H35" s="51">
        <v>0</v>
      </c>
      <c r="I35" s="51">
        <v>19</v>
      </c>
      <c r="J35" s="70">
        <v>31</v>
      </c>
      <c r="K35" s="90">
        <v>189</v>
      </c>
      <c r="L35" s="51">
        <v>0</v>
      </c>
      <c r="M35" s="51"/>
      <c r="N35" s="51"/>
    </row>
    <row r="36" spans="1:14" ht="18" customHeight="1">
      <c r="A36" s="94"/>
      <c r="B36" s="94"/>
      <c r="C36" s="50" t="s">
        <v>212</v>
      </c>
      <c r="D36" s="82" t="s">
        <v>213</v>
      </c>
      <c r="E36" s="51">
        <v>0</v>
      </c>
      <c r="F36" s="51">
        <v>0</v>
      </c>
      <c r="G36" s="51">
        <v>0</v>
      </c>
      <c r="H36" s="51">
        <v>2117</v>
      </c>
      <c r="I36" s="51">
        <v>0</v>
      </c>
      <c r="J36" s="70">
        <v>0</v>
      </c>
      <c r="K36" s="51">
        <v>588</v>
      </c>
      <c r="L36" s="51">
        <v>219</v>
      </c>
      <c r="M36" s="51"/>
      <c r="N36" s="51"/>
    </row>
    <row r="37" spans="1:14" ht="18" customHeight="1">
      <c r="A37" s="94"/>
      <c r="B37" s="94"/>
      <c r="C37" s="50" t="s">
        <v>214</v>
      </c>
      <c r="D37" s="82" t="s">
        <v>215</v>
      </c>
      <c r="E37" s="51">
        <f t="shared" ref="E37:I37" si="5">E34+E35-E36</f>
        <v>0</v>
      </c>
      <c r="F37" s="51">
        <f t="shared" si="5"/>
        <v>1</v>
      </c>
      <c r="G37" s="51">
        <f t="shared" si="5"/>
        <v>195</v>
      </c>
      <c r="H37" s="51">
        <f t="shared" si="5"/>
        <v>-2031.03</v>
      </c>
      <c r="I37" s="51">
        <f t="shared" si="5"/>
        <v>-23</v>
      </c>
      <c r="J37" s="70">
        <v>86</v>
      </c>
      <c r="K37" s="51">
        <f t="shared" ref="K37:N37" si="6">K34+K35-K36</f>
        <v>116</v>
      </c>
      <c r="L37" s="51">
        <f t="shared" si="6"/>
        <v>294</v>
      </c>
      <c r="M37" s="51">
        <f t="shared" si="6"/>
        <v>0</v>
      </c>
      <c r="N37" s="51">
        <f t="shared" si="6"/>
        <v>0</v>
      </c>
    </row>
    <row r="38" spans="1:14" ht="18" customHeight="1">
      <c r="A38" s="94"/>
      <c r="B38" s="94"/>
      <c r="C38" s="50" t="s">
        <v>216</v>
      </c>
      <c r="D38" s="82" t="s">
        <v>217</v>
      </c>
      <c r="E38" s="80">
        <v>0</v>
      </c>
      <c r="F38" s="80">
        <v>0</v>
      </c>
      <c r="G38" s="80">
        <v>0</v>
      </c>
      <c r="H38" s="80">
        <v>0</v>
      </c>
      <c r="I38" s="51">
        <v>0</v>
      </c>
      <c r="J38" s="70">
        <v>0</v>
      </c>
      <c r="K38" s="90">
        <v>0</v>
      </c>
      <c r="L38" s="51">
        <v>0</v>
      </c>
      <c r="M38" s="51"/>
      <c r="N38" s="51"/>
    </row>
    <row r="39" spans="1:14" ht="18" customHeight="1">
      <c r="A39" s="94"/>
      <c r="B39" s="94"/>
      <c r="C39" s="50" t="s">
        <v>218</v>
      </c>
      <c r="D39" s="82" t="s">
        <v>219</v>
      </c>
      <c r="E39" s="80">
        <v>0</v>
      </c>
      <c r="F39" s="80">
        <v>0</v>
      </c>
      <c r="G39" s="80">
        <v>0</v>
      </c>
      <c r="H39" s="80">
        <v>0</v>
      </c>
      <c r="I39" s="51">
        <v>0</v>
      </c>
      <c r="J39" s="70">
        <v>0</v>
      </c>
      <c r="K39" s="90">
        <v>0</v>
      </c>
      <c r="L39" s="51">
        <v>0</v>
      </c>
      <c r="M39" s="51"/>
      <c r="N39" s="51"/>
    </row>
    <row r="40" spans="1:14" ht="18" customHeight="1">
      <c r="A40" s="94"/>
      <c r="B40" s="94"/>
      <c r="C40" s="50" t="s">
        <v>220</v>
      </c>
      <c r="D40" s="82" t="s">
        <v>221</v>
      </c>
      <c r="E40" s="80">
        <v>0</v>
      </c>
      <c r="F40" s="80">
        <v>0</v>
      </c>
      <c r="G40" s="80">
        <v>0</v>
      </c>
      <c r="H40" s="80">
        <v>0</v>
      </c>
      <c r="I40" s="51">
        <v>3</v>
      </c>
      <c r="J40" s="70">
        <v>18</v>
      </c>
      <c r="K40" s="90">
        <v>0</v>
      </c>
      <c r="L40" s="51">
        <v>0</v>
      </c>
      <c r="M40" s="51"/>
      <c r="N40" s="51"/>
    </row>
    <row r="41" spans="1:14" ht="18" customHeight="1">
      <c r="A41" s="94"/>
      <c r="B41" s="94"/>
      <c r="C41" s="44" t="s">
        <v>222</v>
      </c>
      <c r="D41" s="82" t="s">
        <v>223</v>
      </c>
      <c r="E41" s="51">
        <f t="shared" ref="E41:J41" si="7">E34+E35-E36-E40</f>
        <v>0</v>
      </c>
      <c r="F41" s="51">
        <f t="shared" si="7"/>
        <v>1</v>
      </c>
      <c r="G41" s="51">
        <f t="shared" si="7"/>
        <v>195</v>
      </c>
      <c r="H41" s="51">
        <f t="shared" si="7"/>
        <v>-2031.03</v>
      </c>
      <c r="I41" s="51">
        <f t="shared" si="7"/>
        <v>-26</v>
      </c>
      <c r="J41" s="70">
        <v>68</v>
      </c>
      <c r="K41" s="51">
        <f t="shared" ref="K41:N41" si="8">K34+K35-K36-K40</f>
        <v>116</v>
      </c>
      <c r="L41" s="51">
        <f t="shared" si="8"/>
        <v>294</v>
      </c>
      <c r="M41" s="51">
        <f t="shared" si="8"/>
        <v>0</v>
      </c>
      <c r="N41" s="51">
        <f t="shared" si="8"/>
        <v>0</v>
      </c>
    </row>
    <row r="42" spans="1:14" ht="18" customHeight="1">
      <c r="A42" s="94"/>
      <c r="B42" s="94"/>
      <c r="C42" s="118" t="s">
        <v>224</v>
      </c>
      <c r="D42" s="118"/>
      <c r="E42" s="51">
        <f t="shared" ref="E42:J42" si="9">E37+E38-E39-E40</f>
        <v>0</v>
      </c>
      <c r="F42" s="51">
        <f t="shared" si="9"/>
        <v>1</v>
      </c>
      <c r="G42" s="51">
        <f t="shared" si="9"/>
        <v>195</v>
      </c>
      <c r="H42" s="51">
        <f t="shared" si="9"/>
        <v>-2031.03</v>
      </c>
      <c r="I42" s="51">
        <f t="shared" si="9"/>
        <v>-26</v>
      </c>
      <c r="J42" s="70">
        <f t="shared" si="9"/>
        <v>68</v>
      </c>
      <c r="K42" s="51">
        <f>K37+K38-K39-K40</f>
        <v>116</v>
      </c>
      <c r="L42" s="51">
        <f t="shared" ref="L42" si="10">L37+L38-L39-L40</f>
        <v>294</v>
      </c>
      <c r="M42" s="51">
        <f t="shared" ref="M42:N42" si="11">M37+M38-M39-M40</f>
        <v>0</v>
      </c>
      <c r="N42" s="51">
        <f t="shared" si="11"/>
        <v>0</v>
      </c>
    </row>
    <row r="43" spans="1:14" ht="18" customHeight="1">
      <c r="A43" s="94"/>
      <c r="B43" s="94"/>
      <c r="C43" s="50" t="s">
        <v>225</v>
      </c>
      <c r="D43" s="82" t="s">
        <v>226</v>
      </c>
      <c r="E43" s="51">
        <v>0</v>
      </c>
      <c r="F43" s="51">
        <v>0</v>
      </c>
      <c r="G43" s="51">
        <v>0</v>
      </c>
      <c r="H43" s="51">
        <v>0</v>
      </c>
      <c r="I43" s="51">
        <v>-1452</v>
      </c>
      <c r="J43" s="70">
        <v>-1521</v>
      </c>
      <c r="K43" s="90">
        <v>0</v>
      </c>
      <c r="L43" s="51">
        <v>0</v>
      </c>
      <c r="M43" s="51"/>
      <c r="N43" s="51"/>
    </row>
    <row r="44" spans="1:14" ht="18" customHeight="1">
      <c r="A44" s="94"/>
      <c r="B44" s="94"/>
      <c r="C44" s="44" t="s">
        <v>227</v>
      </c>
      <c r="D44" s="63" t="s">
        <v>228</v>
      </c>
      <c r="E44" s="51">
        <f t="shared" ref="E44:I44" si="12">E41+E43</f>
        <v>0</v>
      </c>
      <c r="F44" s="51">
        <f t="shared" si="12"/>
        <v>1</v>
      </c>
      <c r="G44" s="51">
        <f t="shared" si="12"/>
        <v>195</v>
      </c>
      <c r="H44" s="51">
        <f t="shared" si="12"/>
        <v>-2031.03</v>
      </c>
      <c r="I44" s="51">
        <f t="shared" si="12"/>
        <v>-1478</v>
      </c>
      <c r="J44" s="70">
        <f>J41+J43</f>
        <v>-1453</v>
      </c>
      <c r="K44" s="51">
        <f t="shared" ref="K44:N44" si="13">K41+K43</f>
        <v>116</v>
      </c>
      <c r="L44" s="51">
        <f t="shared" si="13"/>
        <v>294</v>
      </c>
      <c r="M44" s="51">
        <f t="shared" si="13"/>
        <v>0</v>
      </c>
      <c r="N44" s="51">
        <f t="shared" si="13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3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志原　拓磨</cp:lastModifiedBy>
  <cp:lastPrinted>2025-08-13T06:02:52Z</cp:lastPrinted>
  <dcterms:created xsi:type="dcterms:W3CDTF">1999-07-06T05:17:05Z</dcterms:created>
  <dcterms:modified xsi:type="dcterms:W3CDTF">2025-08-15T02:06:03Z</dcterms:modified>
</cp:coreProperties>
</file>