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0.241\共有\【財政状況】\令和7年度\03 HP更新\02指定都市（Excel）\"/>
    </mc:Choice>
  </mc:AlternateContent>
  <xr:revisionPtr revIDLastSave="0" documentId="13_ncr:1_{0895E132-1748-4C2F-9813-3AF2D74D71AA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1.普通会計予算（R6-7年度）" sheetId="2" r:id="rId1"/>
    <sheet name="2.公営企業会計予算（R6-7年度）" sheetId="6" r:id="rId2"/>
    <sheet name="3.(1)普通会計決算（R4-5年度）" sheetId="7" r:id="rId3"/>
    <sheet name="3.(2)財政指標等（R元‐R5年度）" sheetId="8" r:id="rId4"/>
    <sheet name="4.公営企業会計決算（R4-5年度）" sheetId="9" r:id="rId5"/>
    <sheet name="5.三セク決算（R4-5年度）" sheetId="10" r:id="rId6"/>
  </sheets>
  <definedNames>
    <definedName name="_xlnm.Print_Area" localSheetId="0">'1.普通会計予算（R6-7年度）'!$A$1:$I$42</definedName>
    <definedName name="_xlnm.Print_Area" localSheetId="1">'2.公営企業会計予算（R6-7年度）'!$A$1:$O$50</definedName>
    <definedName name="_xlnm.Print_Area" localSheetId="2">'3.(1)普通会計決算（R4-5年度）'!$A$1:$I$42</definedName>
    <definedName name="_xlnm.Print_Area" localSheetId="3">'3.(2)財政指標等（R元‐R5年度）'!$A$1:$I$35</definedName>
    <definedName name="_xlnm.Print_Area" localSheetId="4">'4.公営企業会計決算（R4-5年度）'!$A$1:$O$49</definedName>
    <definedName name="_xlnm.Print_Area" localSheetId="5">'5.三セク決算（R4-5年度）'!$A$1:$N$46</definedName>
    <definedName name="_xlnm.Print_Titles" localSheetId="1">'2.公営企業会計予算（R6-7年度）'!$1:$4</definedName>
    <definedName name="_xlnm.Print_Titles" localSheetId="4">'4.公営企業会計決算（R4-5年度）'!$1:$4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2" l="1"/>
  <c r="H34" i="10" l="1"/>
  <c r="G34" i="10"/>
  <c r="G31" i="10"/>
  <c r="H10" i="2"/>
  <c r="H27" i="2"/>
  <c r="H22" i="2"/>
  <c r="I35" i="7" l="1"/>
  <c r="I34" i="7"/>
  <c r="I25" i="7"/>
  <c r="F27" i="7"/>
  <c r="F40" i="7"/>
  <c r="F22" i="7"/>
  <c r="L44" i="9"/>
  <c r="L39" i="9"/>
  <c r="L45" i="9" s="1"/>
  <c r="N44" i="9" l="1"/>
  <c r="N45" i="9" s="1"/>
  <c r="N39" i="9"/>
  <c r="I24" i="9" l="1"/>
  <c r="I27" i="9" s="1"/>
  <c r="I12" i="9"/>
  <c r="I11" i="9"/>
  <c r="I10" i="9"/>
  <c r="I15" i="9" s="1"/>
  <c r="I9" i="9"/>
  <c r="I14" i="9" s="1"/>
  <c r="I8" i="9"/>
  <c r="I16" i="9" s="1"/>
  <c r="H24" i="9"/>
  <c r="H27" i="9" s="1"/>
  <c r="H23" i="9"/>
  <c r="H22" i="9"/>
  <c r="H16" i="9"/>
  <c r="H15" i="9"/>
  <c r="H14" i="9"/>
  <c r="I23" i="6" l="1"/>
  <c r="I22" i="6"/>
  <c r="I20" i="6"/>
  <c r="I19" i="6"/>
  <c r="I21" i="6" s="1"/>
  <c r="I16" i="6"/>
  <c r="I15" i="6"/>
  <c r="I13" i="6"/>
  <c r="I12" i="6"/>
  <c r="I11" i="6"/>
  <c r="I10" i="6"/>
  <c r="I9" i="6"/>
  <c r="I14" i="6" s="1"/>
  <c r="I8" i="6"/>
  <c r="H23" i="6"/>
  <c r="H22" i="6"/>
  <c r="H20" i="6"/>
  <c r="H19" i="6"/>
  <c r="H21" i="6" s="1"/>
  <c r="H17" i="6"/>
  <c r="H16" i="6"/>
  <c r="H14" i="6"/>
  <c r="H13" i="6"/>
  <c r="H15" i="6" s="1"/>
  <c r="H12" i="6"/>
  <c r="H11" i="6"/>
  <c r="H10" i="6"/>
  <c r="H9" i="6"/>
  <c r="H8" i="6"/>
  <c r="I25" i="6" l="1"/>
  <c r="I24" i="6"/>
  <c r="I27" i="6" s="1"/>
  <c r="H25" i="6"/>
  <c r="H24" i="6"/>
  <c r="H27" i="6" l="1"/>
  <c r="G37" i="10" l="1"/>
  <c r="G42" i="10" s="1"/>
  <c r="G41" i="10" l="1"/>
  <c r="G44" i="10" s="1"/>
  <c r="L44" i="6" l="1"/>
  <c r="L39" i="6"/>
  <c r="L45" i="6" l="1"/>
  <c r="H44" i="9" l="1"/>
  <c r="H39" i="9"/>
  <c r="H45" i="9" s="1"/>
  <c r="H44" i="6" l="1"/>
  <c r="H39" i="6"/>
  <c r="H45" i="6" s="1"/>
  <c r="F43" i="9" l="1"/>
  <c r="F42" i="9"/>
  <c r="F41" i="9"/>
  <c r="F40" i="9"/>
  <c r="F44" i="9" s="1"/>
  <c r="F38" i="9"/>
  <c r="F37" i="9"/>
  <c r="F36" i="9"/>
  <c r="F35" i="9"/>
  <c r="F34" i="9"/>
  <c r="F33" i="9"/>
  <c r="F32" i="9"/>
  <c r="F39" i="9" s="1"/>
  <c r="F45" i="9" s="1"/>
  <c r="F43" i="6" l="1"/>
  <c r="F42" i="6"/>
  <c r="F41" i="6"/>
  <c r="F40" i="6"/>
  <c r="F44" i="6" s="1"/>
  <c r="F39" i="6"/>
  <c r="F38" i="6"/>
  <c r="F37" i="6"/>
  <c r="F36" i="6"/>
  <c r="F35" i="6"/>
  <c r="F34" i="6"/>
  <c r="F33" i="6"/>
  <c r="F32" i="6"/>
  <c r="F45" i="6" l="1"/>
  <c r="F24" i="9" l="1"/>
  <c r="F16" i="9"/>
  <c r="F15" i="9"/>
  <c r="F14" i="9"/>
  <c r="F24" i="6" l="1"/>
  <c r="F16" i="6"/>
  <c r="F15" i="6"/>
  <c r="F14" i="6"/>
  <c r="E31" i="10" l="1"/>
  <c r="E34" i="10" s="1"/>
  <c r="E41" i="10" l="1"/>
  <c r="E44" i="10" s="1"/>
  <c r="E37" i="10"/>
  <c r="E42" i="10" s="1"/>
  <c r="J44" i="9" l="1"/>
  <c r="J39" i="9"/>
  <c r="J45" i="9" l="1"/>
  <c r="J44" i="6"/>
  <c r="J39" i="6"/>
  <c r="J45" i="6" s="1"/>
  <c r="J24" i="9" l="1"/>
  <c r="J16" i="9"/>
  <c r="J15" i="9"/>
  <c r="J14" i="9"/>
  <c r="I24" i="8" l="1"/>
  <c r="I12" i="8"/>
  <c r="I10" i="8"/>
  <c r="F35" i="2" l="1"/>
  <c r="F27" i="2"/>
  <c r="F33" i="2"/>
  <c r="F10" i="2" l="1"/>
  <c r="F16" i="2"/>
  <c r="H31" i="10" l="1"/>
  <c r="F31" i="10"/>
  <c r="F34" i="10" s="1"/>
  <c r="F37" i="10" l="1"/>
  <c r="F42" i="10" s="1"/>
  <c r="F41" i="10"/>
  <c r="F44" i="10" s="1"/>
  <c r="H41" i="10"/>
  <c r="H44" i="10" s="1"/>
  <c r="H37" i="10"/>
  <c r="H42" i="10" s="1"/>
  <c r="O44" i="9" l="1"/>
  <c r="M44" i="9"/>
  <c r="K44" i="9"/>
  <c r="I44" i="9"/>
  <c r="G44" i="9"/>
  <c r="O39" i="9"/>
  <c r="O45" i="9" s="1"/>
  <c r="M39" i="9"/>
  <c r="M45" i="9" s="1"/>
  <c r="K39" i="9"/>
  <c r="I39" i="9"/>
  <c r="I45" i="9" s="1"/>
  <c r="G39" i="9"/>
  <c r="G45" i="9" s="1"/>
  <c r="G25" i="9"/>
  <c r="K24" i="9"/>
  <c r="K27" i="9" s="1"/>
  <c r="J27" i="9"/>
  <c r="F27" i="9"/>
  <c r="G23" i="9"/>
  <c r="G22" i="9"/>
  <c r="G21" i="9"/>
  <c r="G24" i="9" s="1"/>
  <c r="G27" i="9" s="1"/>
  <c r="G20" i="9"/>
  <c r="G19" i="9"/>
  <c r="K16" i="9"/>
  <c r="G16" i="9"/>
  <c r="K15" i="9"/>
  <c r="G15" i="9"/>
  <c r="K14" i="9"/>
  <c r="G14" i="9"/>
  <c r="G12" i="9"/>
  <c r="G11" i="9"/>
  <c r="G9" i="9"/>
  <c r="G8" i="9"/>
  <c r="K45" i="9" l="1"/>
  <c r="H24" i="8"/>
  <c r="G24" i="8"/>
  <c r="G22" i="8" s="1"/>
  <c r="E23" i="8"/>
  <c r="H23" i="8"/>
  <c r="H22" i="8"/>
  <c r="F22" i="8"/>
  <c r="H21" i="8"/>
  <c r="H20" i="8"/>
  <c r="G20" i="8"/>
  <c r="F20" i="8"/>
  <c r="E20" i="8"/>
  <c r="H19" i="8"/>
  <c r="G19" i="8"/>
  <c r="G21" i="8" s="1"/>
  <c r="F19" i="8"/>
  <c r="F21" i="8" s="1"/>
  <c r="E19" i="8"/>
  <c r="E21" i="8" s="1"/>
  <c r="H40" i="7"/>
  <c r="H22" i="7"/>
  <c r="H34" i="2"/>
  <c r="H23" i="2"/>
  <c r="H40" i="2" l="1"/>
  <c r="E22" i="8"/>
  <c r="F23" i="8"/>
  <c r="G23" i="8"/>
  <c r="M44" i="6" l="1"/>
  <c r="K44" i="6"/>
  <c r="I44" i="6"/>
  <c r="G44" i="6"/>
  <c r="G45" i="6" s="1"/>
  <c r="M39" i="6"/>
  <c r="M45" i="6" s="1"/>
  <c r="K39" i="6"/>
  <c r="K45" i="6" s="1"/>
  <c r="I39" i="6"/>
  <c r="I45" i="6" s="1"/>
  <c r="G39" i="6"/>
  <c r="M27" i="6"/>
  <c r="L27" i="6"/>
  <c r="K27" i="6"/>
  <c r="J27" i="6"/>
  <c r="F27" i="6"/>
  <c r="G25" i="6"/>
  <c r="M24" i="6"/>
  <c r="L24" i="6"/>
  <c r="K24" i="6"/>
  <c r="J24" i="6"/>
  <c r="G23" i="6"/>
  <c r="G22" i="6"/>
  <c r="G24" i="6" s="1"/>
  <c r="G27" i="6" s="1"/>
  <c r="G21" i="6"/>
  <c r="G20" i="6"/>
  <c r="G19" i="6"/>
  <c r="M16" i="6"/>
  <c r="L16" i="6"/>
  <c r="K16" i="6"/>
  <c r="J16" i="6"/>
  <c r="M15" i="6"/>
  <c r="L15" i="6"/>
  <c r="K15" i="6"/>
  <c r="J15" i="6"/>
  <c r="G15" i="6"/>
  <c r="M14" i="6"/>
  <c r="L14" i="6"/>
  <c r="K14" i="6"/>
  <c r="J14" i="6"/>
  <c r="G12" i="6"/>
  <c r="G14" i="6" s="1"/>
  <c r="G11" i="6"/>
  <c r="G9" i="6"/>
  <c r="G8" i="6"/>
  <c r="G16" i="6" s="1"/>
  <c r="I22" i="8" l="1"/>
  <c r="I20" i="8"/>
  <c r="I16" i="2"/>
  <c r="G9" i="7"/>
  <c r="F40" i="2"/>
  <c r="G38" i="2" s="1"/>
  <c r="I36" i="2"/>
  <c r="N31" i="10"/>
  <c r="N34" i="10" s="1"/>
  <c r="M31" i="10"/>
  <c r="M34" i="10" s="1"/>
  <c r="L31" i="10"/>
  <c r="L34" i="10" s="1"/>
  <c r="L41" i="10" s="1"/>
  <c r="L44" i="10" s="1"/>
  <c r="K31" i="10"/>
  <c r="K34" i="10" s="1"/>
  <c r="K41" i="10" s="1"/>
  <c r="K44" i="10" s="1"/>
  <c r="J31" i="10"/>
  <c r="J34" i="10" s="1"/>
  <c r="I31" i="10"/>
  <c r="I34" i="10" s="1"/>
  <c r="O24" i="9"/>
  <c r="O27" i="9" s="1"/>
  <c r="N24" i="9"/>
  <c r="N27" i="9" s="1"/>
  <c r="M24" i="9"/>
  <c r="M27" i="9" s="1"/>
  <c r="L24" i="9"/>
  <c r="L27" i="9" s="1"/>
  <c r="O16" i="9"/>
  <c r="N16" i="9"/>
  <c r="M16" i="9"/>
  <c r="L16" i="9"/>
  <c r="O15" i="9"/>
  <c r="N15" i="9"/>
  <c r="M15" i="9"/>
  <c r="L15" i="9"/>
  <c r="O14" i="9"/>
  <c r="N14" i="9"/>
  <c r="M14" i="9"/>
  <c r="L14" i="9"/>
  <c r="I19" i="8"/>
  <c r="I38" i="7"/>
  <c r="I37" i="7"/>
  <c r="I36" i="7"/>
  <c r="I33" i="7"/>
  <c r="I32" i="7"/>
  <c r="I31" i="7"/>
  <c r="I30" i="7"/>
  <c r="I29" i="7"/>
  <c r="I28" i="7"/>
  <c r="I27" i="7"/>
  <c r="I26" i="7"/>
  <c r="I24" i="7"/>
  <c r="I23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O44" i="6"/>
  <c r="N44" i="6"/>
  <c r="O39" i="6"/>
  <c r="O45" i="6" s="1"/>
  <c r="N39" i="6"/>
  <c r="O24" i="6"/>
  <c r="O27" i="6" s="1"/>
  <c r="N24" i="6"/>
  <c r="N27" i="6" s="1"/>
  <c r="O16" i="6"/>
  <c r="N16" i="6"/>
  <c r="O15" i="6"/>
  <c r="N15" i="6"/>
  <c r="O14" i="6"/>
  <c r="N14" i="6"/>
  <c r="I39" i="2"/>
  <c r="I38" i="2"/>
  <c r="I37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0" i="2"/>
  <c r="I17" i="2"/>
  <c r="I15" i="2"/>
  <c r="I14" i="2"/>
  <c r="I13" i="2"/>
  <c r="I10" i="2"/>
  <c r="I9" i="2"/>
  <c r="I11" i="2"/>
  <c r="I12" i="2"/>
  <c r="I18" i="2"/>
  <c r="I19" i="2"/>
  <c r="G31" i="2" l="1"/>
  <c r="G34" i="2"/>
  <c r="I23" i="8"/>
  <c r="I21" i="8"/>
  <c r="G40" i="2"/>
  <c r="N45" i="6"/>
  <c r="I40" i="7"/>
  <c r="K37" i="10"/>
  <c r="K42" i="10" s="1"/>
  <c r="G31" i="7"/>
  <c r="G39" i="7"/>
  <c r="G20" i="7"/>
  <c r="G10" i="7"/>
  <c r="G24" i="7"/>
  <c r="G28" i="7"/>
  <c r="G32" i="7"/>
  <c r="G36" i="7"/>
  <c r="G40" i="7"/>
  <c r="G21" i="7"/>
  <c r="G25" i="7"/>
  <c r="G29" i="7"/>
  <c r="G33" i="7"/>
  <c r="G37" i="7"/>
  <c r="G26" i="2"/>
  <c r="G26" i="7"/>
  <c r="G30" i="7"/>
  <c r="G34" i="7"/>
  <c r="G38" i="7"/>
  <c r="G17" i="7"/>
  <c r="G19" i="7"/>
  <c r="G23" i="7"/>
  <c r="G14" i="7"/>
  <c r="G12" i="7"/>
  <c r="G27" i="7"/>
  <c r="G35" i="7"/>
  <c r="I37" i="10"/>
  <c r="I42" i="10" s="1"/>
  <c r="I41" i="10"/>
  <c r="I44" i="10" s="1"/>
  <c r="L37" i="10"/>
  <c r="L42" i="10" s="1"/>
  <c r="M37" i="10"/>
  <c r="M42" i="10" s="1"/>
  <c r="M41" i="10"/>
  <c r="M44" i="10" s="1"/>
  <c r="N41" i="10"/>
  <c r="N44" i="10" s="1"/>
  <c r="N37" i="10"/>
  <c r="N42" i="10" s="1"/>
  <c r="J41" i="10"/>
  <c r="J44" i="10" s="1"/>
  <c r="J37" i="10"/>
  <c r="J42" i="10" s="1"/>
  <c r="G29" i="2"/>
  <c r="G30" i="2"/>
  <c r="I40" i="2"/>
  <c r="G24" i="2"/>
  <c r="G35" i="2"/>
  <c r="G37" i="2"/>
  <c r="G39" i="2"/>
  <c r="G11" i="7"/>
  <c r="G28" i="2"/>
  <c r="G16" i="7"/>
  <c r="G18" i="7"/>
  <c r="I22" i="7"/>
  <c r="G32" i="2"/>
  <c r="G27" i="2"/>
  <c r="G13" i="7"/>
  <c r="G15" i="7"/>
  <c r="G22" i="7"/>
  <c r="G33" i="2"/>
  <c r="G23" i="2"/>
  <c r="G25" i="2"/>
  <c r="G36" i="2"/>
  <c r="I21" i="2" l="1"/>
  <c r="F22" i="2"/>
  <c r="G13" i="2" s="1"/>
  <c r="G15" i="2" l="1"/>
  <c r="G17" i="2"/>
  <c r="G11" i="2"/>
  <c r="G16" i="2"/>
  <c r="G20" i="2"/>
  <c r="G12" i="2"/>
  <c r="I22" i="2"/>
  <c r="G18" i="2"/>
  <c r="G10" i="2"/>
  <c r="G21" i="2"/>
  <c r="G19" i="2"/>
  <c r="G9" i="2"/>
  <c r="G14" i="2"/>
  <c r="G2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松本　聖</author>
    <author>作成者</author>
  </authors>
  <commentList>
    <comment ref="H12" authorId="0" shapeId="0" xr:uid="{FD8F4EEB-0E53-4B70-9912-E507ACD9056A}">
      <text>
        <r>
          <rPr>
            <sz val="9"/>
            <color indexed="81"/>
            <rFont val="MS P ゴシック"/>
            <family val="3"/>
            <charset val="128"/>
          </rPr>
          <t>予備費は内数に含めない</t>
        </r>
      </text>
    </comment>
    <comment ref="I17" authorId="1" shapeId="0" xr:uid="{C14D74DD-E474-48A4-A373-065ED717A766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BSの当年度未処理欠損金</t>
        </r>
      </text>
    </comment>
    <comment ref="I19" authorId="1" shapeId="0" xr:uid="{CE937441-39EF-4ACC-806D-60734DAD3BE2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前年同様</t>
        </r>
      </text>
    </comment>
    <comment ref="I21" authorId="1" shapeId="0" xr:uid="{81781C14-6837-4023-8A0F-68DB32C4AC1F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前年同様</t>
        </r>
      </text>
    </comment>
    <comment ref="I25" authorId="1" shapeId="0" xr:uid="{C8AAB53C-B02E-436A-864A-336EBD7311DC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前年同様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9" authorId="0" shapeId="0" xr:uid="{FD0886CC-5E7B-460C-A046-92A0D3FCAD16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医業収益＋医業外収益</t>
        </r>
      </text>
    </comment>
    <comment ref="I10" authorId="0" shapeId="0" xr:uid="{1160E8D1-7E1D-4CCC-8F72-4D64909222C3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端数調整
</t>
        </r>
      </text>
    </comment>
    <comment ref="I12" authorId="0" shapeId="0" xr:uid="{5DFB4FB6-BE06-4181-9621-F95298B2CE3E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医業費用＋医業外費用</t>
        </r>
      </text>
    </comment>
    <comment ref="I17" authorId="0" shapeId="0" xr:uid="{A63D632B-F966-436D-8C83-F2A0CFDAD1C1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BSの当年度未処理欠損金</t>
        </r>
      </text>
    </comment>
  </commentList>
</comments>
</file>

<file path=xl/sharedStrings.xml><?xml version="1.0" encoding="utf-8"?>
<sst xmlns="http://schemas.openxmlformats.org/spreadsheetml/2006/main" count="436" uniqueCount="269">
  <si>
    <t>団体名</t>
  </si>
  <si>
    <t>構成比</t>
  </si>
  <si>
    <t>地方税</t>
  </si>
  <si>
    <t>地方譲与税</t>
  </si>
  <si>
    <t>地方交付税</t>
  </si>
  <si>
    <t>国庫支出金</t>
  </si>
  <si>
    <t>地方債</t>
  </si>
  <si>
    <t>その他の収入</t>
  </si>
  <si>
    <t>歳　入　合　計</t>
  </si>
  <si>
    <t>義務的経費</t>
  </si>
  <si>
    <t>うち人件費</t>
  </si>
  <si>
    <t>　　公債費</t>
  </si>
  <si>
    <t>その他の経費</t>
  </si>
  <si>
    <t>うち物件費</t>
  </si>
  <si>
    <t>　　積立金</t>
  </si>
  <si>
    <t>投資的経費</t>
  </si>
  <si>
    <t>うち普通建設事業費</t>
  </si>
  <si>
    <t>歳　出　合  計</t>
  </si>
  <si>
    <t>（注１）原則として表示単位未満を四捨五入して端数調整していないため、合計等と一致しない場合がある。</t>
  </si>
  <si>
    <t>（注２）構成比は表内計数により計算している。</t>
  </si>
  <si>
    <t>対前年度
伸び率</t>
  </si>
  <si>
    <t>うち市町村民税</t>
  </si>
  <si>
    <t>うち所得割</t>
  </si>
  <si>
    <t>　　法人税割</t>
  </si>
  <si>
    <t>うち固定資産税</t>
  </si>
  <si>
    <t>使用料・手数料</t>
  </si>
  <si>
    <t>都道府県支出金</t>
  </si>
  <si>
    <t>財産収入</t>
  </si>
  <si>
    <t>　　扶助費</t>
  </si>
  <si>
    <t>　　維持補修費</t>
  </si>
  <si>
    <t>　　補助費等</t>
  </si>
  <si>
    <t>　　繰出金</t>
  </si>
  <si>
    <t>　　投資・出資・貸付金</t>
  </si>
  <si>
    <t xml:space="preserve">    単独事業</t>
  </si>
  <si>
    <t>うち災害復旧事業費</t>
  </si>
  <si>
    <t>　　失業対策事業費</t>
  </si>
  <si>
    <t>(a)</t>
  </si>
  <si>
    <t>(b)</t>
  </si>
  <si>
    <t>(c)</t>
  </si>
  <si>
    <t>(d)</t>
  </si>
  <si>
    <t>(e)</t>
  </si>
  <si>
    <t>(f)</t>
  </si>
  <si>
    <t>2.公営企業会計の状況</t>
  </si>
  <si>
    <t>　　　　　　（単位：百万円）</t>
  </si>
  <si>
    <t>法適用企業</t>
  </si>
  <si>
    <t>総収益</t>
  </si>
  <si>
    <t>うち経常収益</t>
  </si>
  <si>
    <t xml:space="preserve">    特別利益</t>
  </si>
  <si>
    <t>総費用</t>
  </si>
  <si>
    <t>うち経常費用</t>
  </si>
  <si>
    <t xml:space="preserve">    特別損失</t>
  </si>
  <si>
    <t xml:space="preserve">経常損益 </t>
  </si>
  <si>
    <t xml:space="preserve">特別損益 </t>
  </si>
  <si>
    <t xml:space="preserve">純損益   </t>
  </si>
  <si>
    <t>累積欠損金</t>
  </si>
  <si>
    <t>不良債務</t>
  </si>
  <si>
    <t>資本的収入</t>
  </si>
  <si>
    <t>うち企業債</t>
  </si>
  <si>
    <t>資本的収入（純計） 　</t>
  </si>
  <si>
    <t>資本的支出</t>
  </si>
  <si>
    <t>　</t>
  </si>
  <si>
    <t>うち企業債償還金</t>
  </si>
  <si>
    <t>資本的収入が資本的支出に</t>
  </si>
  <si>
    <t xml:space="preserve">不足する額の補てん財源　 </t>
  </si>
  <si>
    <t>法非適用企業</t>
  </si>
  <si>
    <t>うち営業収益</t>
  </si>
  <si>
    <t>うち料金収入</t>
  </si>
  <si>
    <t>うち営業外収益</t>
  </si>
  <si>
    <t>うち営業費用</t>
  </si>
  <si>
    <t>　　営業外費用</t>
  </si>
  <si>
    <t>収支差引</t>
  </si>
  <si>
    <t>資本的収入　</t>
  </si>
  <si>
    <t>うち地方債</t>
  </si>
  <si>
    <t>うち地方債償還金</t>
  </si>
  <si>
    <t>収支再差引</t>
  </si>
  <si>
    <t>積立金</t>
  </si>
  <si>
    <t>形式収支</t>
  </si>
  <si>
    <t>実質収支</t>
  </si>
  <si>
    <t>その他</t>
  </si>
  <si>
    <t>普　　　通　　　会　　　計</t>
    <rPh sb="0" eb="1">
      <t>アマネ</t>
    </rPh>
    <rPh sb="4" eb="5">
      <t>ツウ</t>
    </rPh>
    <rPh sb="8" eb="9">
      <t>カイ</t>
    </rPh>
    <rPh sb="12" eb="13">
      <t>ケイ</t>
    </rPh>
    <phoneticPr fontId="8"/>
  </si>
  <si>
    <t>歳　　入</t>
    <rPh sb="0" eb="1">
      <t>トシ</t>
    </rPh>
    <rPh sb="3" eb="4">
      <t>イ</t>
    </rPh>
    <phoneticPr fontId="8"/>
  </si>
  <si>
    <t>歳　　出</t>
    <rPh sb="0" eb="1">
      <t>トシ</t>
    </rPh>
    <rPh sb="3" eb="4">
      <t>デ</t>
    </rPh>
    <phoneticPr fontId="8"/>
  </si>
  <si>
    <t>（注）原則として表示単位未満を四捨五入して端数調整していないため、合計等と一致しない場合がある。</t>
    <phoneticPr fontId="7"/>
  </si>
  <si>
    <t>損益収支</t>
  </si>
  <si>
    <t>資本収支</t>
  </si>
  <si>
    <t>収益的収支</t>
  </si>
  <si>
    <t>資本的収支</t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</si>
  <si>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</si>
  <si>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</si>
  <si>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</si>
  <si>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</si>
  <si>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</si>
  <si>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7"/>
  </si>
  <si>
    <t>(i=g-h)</t>
    <phoneticPr fontId="11"/>
  </si>
  <si>
    <t>(j)</t>
    <phoneticPr fontId="11"/>
  </si>
  <si>
    <t>補てん財源不足額(▲)</t>
    <phoneticPr fontId="7"/>
  </si>
  <si>
    <t>(i+j)</t>
    <phoneticPr fontId="11"/>
  </si>
  <si>
    <t>(c=a-b)</t>
    <phoneticPr fontId="8"/>
  </si>
  <si>
    <t>(f=d-e)</t>
    <phoneticPr fontId="8"/>
  </si>
  <si>
    <t>(g=c+f)</t>
    <phoneticPr fontId="8"/>
  </si>
  <si>
    <t>（単位：百万円）</t>
    <phoneticPr fontId="7"/>
  </si>
  <si>
    <t>予算額</t>
    <rPh sb="0" eb="2">
      <t>ヨサン</t>
    </rPh>
    <rPh sb="2" eb="3">
      <t>ガク</t>
    </rPh>
    <phoneticPr fontId="7"/>
  </si>
  <si>
    <t>うち補助事業(国直轄事業負担金を含む)</t>
    <rPh sb="7" eb="8">
      <t>クニ</t>
    </rPh>
    <rPh sb="8" eb="10">
      <t>チョッカツ</t>
    </rPh>
    <rPh sb="10" eb="12">
      <t>ジギョウ</t>
    </rPh>
    <rPh sb="12" eb="15">
      <t>フタンキン</t>
    </rPh>
    <rPh sb="16" eb="17">
      <t>フク</t>
    </rPh>
    <phoneticPr fontId="7"/>
  </si>
  <si>
    <t>1.普通会計の状況</t>
    <phoneticPr fontId="7"/>
  </si>
  <si>
    <t>（単位：百万円、％）</t>
    <phoneticPr fontId="7"/>
  </si>
  <si>
    <t>３.普通会計の状況</t>
    <phoneticPr fontId="7"/>
  </si>
  <si>
    <t>（単位：百万円、％）</t>
    <phoneticPr fontId="7"/>
  </si>
  <si>
    <t>（2）最近の普通会計決算及び財政指標等の状況</t>
  </si>
  <si>
    <t>(単位:百万円、％)</t>
  </si>
  <si>
    <t>区分</t>
  </si>
  <si>
    <t>決　算　規　模　・　財　政　指　標　等</t>
    <rPh sb="0" eb="1">
      <t>ケツ</t>
    </rPh>
    <rPh sb="2" eb="3">
      <t>サン</t>
    </rPh>
    <rPh sb="4" eb="5">
      <t>キ</t>
    </rPh>
    <rPh sb="6" eb="7">
      <t>ノット</t>
    </rPh>
    <rPh sb="10" eb="11">
      <t>ザイ</t>
    </rPh>
    <rPh sb="12" eb="13">
      <t>セイ</t>
    </rPh>
    <rPh sb="14" eb="15">
      <t>ユビ</t>
    </rPh>
    <rPh sb="16" eb="17">
      <t>シルベ</t>
    </rPh>
    <rPh sb="18" eb="19">
      <t>トウ</t>
    </rPh>
    <phoneticPr fontId="8"/>
  </si>
  <si>
    <t xml:space="preserve">歳入総額    </t>
  </si>
  <si>
    <t>(a)</t>
    <phoneticPr fontId="8"/>
  </si>
  <si>
    <t>うち一般財源総額</t>
  </si>
  <si>
    <t>歳出総額</t>
  </si>
  <si>
    <t>歳入歳出差引</t>
  </si>
  <si>
    <t>翌年度への繰越財源</t>
  </si>
  <si>
    <t>実質収支</t>
    <phoneticPr fontId="7"/>
  </si>
  <si>
    <t>単年度収支</t>
    <rPh sb="0" eb="3">
      <t>タンネンド</t>
    </rPh>
    <rPh sb="3" eb="5">
      <t>シュウシ</t>
    </rPh>
    <phoneticPr fontId="7"/>
  </si>
  <si>
    <t>繰上償還金</t>
    <rPh sb="0" eb="2">
      <t>クリア</t>
    </rPh>
    <rPh sb="2" eb="5">
      <t>ショウカンキン</t>
    </rPh>
    <phoneticPr fontId="7"/>
  </si>
  <si>
    <t>実質単年度収支</t>
    <rPh sb="0" eb="2">
      <t>ジッシツ</t>
    </rPh>
    <phoneticPr fontId="7"/>
  </si>
  <si>
    <t>積立金現在高</t>
  </si>
  <si>
    <t>債務負担行為（翌年度以降支出予定額）</t>
  </si>
  <si>
    <t>地方債現在高</t>
  </si>
  <si>
    <t>後年度財政負担</t>
  </si>
  <si>
    <t>(f=d+e-c)</t>
    <phoneticPr fontId="8"/>
  </si>
  <si>
    <t>地方債現在高の一般財源総額比</t>
  </si>
  <si>
    <t>(e/b)</t>
    <phoneticPr fontId="8"/>
  </si>
  <si>
    <t>後年度財政負担の一般財源総額比</t>
  </si>
  <si>
    <t>(f/b)</t>
    <phoneticPr fontId="8"/>
  </si>
  <si>
    <t>一人あたり地方債現在高</t>
  </si>
  <si>
    <t>(e/g、円)</t>
    <rPh sb="5" eb="6">
      <t>エン</t>
    </rPh>
    <phoneticPr fontId="7"/>
  </si>
  <si>
    <t>一人あたり後年度財政負担</t>
  </si>
  <si>
    <t>(f/g、円)</t>
    <rPh sb="5" eb="6">
      <t>エン</t>
    </rPh>
    <phoneticPr fontId="7"/>
  </si>
  <si>
    <t>人口　（注 1）</t>
    <rPh sb="4" eb="5">
      <t>チュウ</t>
    </rPh>
    <phoneticPr fontId="8"/>
  </si>
  <si>
    <t>(g、人)</t>
    <rPh sb="3" eb="4">
      <t>ニン</t>
    </rPh>
    <phoneticPr fontId="7"/>
  </si>
  <si>
    <t xml:space="preserve">標準財政規模  </t>
  </si>
  <si>
    <t>財政力指数</t>
  </si>
  <si>
    <t>実質収支比率</t>
  </si>
  <si>
    <t>経常収支比率</t>
  </si>
  <si>
    <t>自主財源比率</t>
  </si>
  <si>
    <t>健全化判断比率</t>
    <rPh sb="0" eb="3">
      <t>ケンゼンカ</t>
    </rPh>
    <rPh sb="3" eb="5">
      <t>ハンダン</t>
    </rPh>
    <rPh sb="5" eb="7">
      <t>ヒリツ</t>
    </rPh>
    <phoneticPr fontId="8"/>
  </si>
  <si>
    <t>実質赤字比率</t>
    <rPh sb="0" eb="2">
      <t>ジッシツ</t>
    </rPh>
    <rPh sb="2" eb="4">
      <t>アカジ</t>
    </rPh>
    <rPh sb="4" eb="6">
      <t>ヒリツ</t>
    </rPh>
    <phoneticPr fontId="7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</si>
  <si>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7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</si>
  <si>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7"/>
  </si>
  <si>
    <t>将来負担比率</t>
    <rPh sb="0" eb="2">
      <t>ショウライ</t>
    </rPh>
    <rPh sb="2" eb="4">
      <t>フタン</t>
    </rPh>
    <rPh sb="4" eb="6">
      <t>ヒリツ</t>
    </rPh>
    <phoneticPr fontId="7"/>
  </si>
  <si>
    <t>（注）原則として表示単位未満を四捨五入して端数調整していないため、合計等と一致しない場合がある。</t>
    <phoneticPr fontId="7"/>
  </si>
  <si>
    <t>４.公営企業会計の状況</t>
    <phoneticPr fontId="7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</si>
  <si>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</si>
  <si>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</si>
  <si>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</si>
  <si>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</si>
  <si>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</si>
  <si>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7"/>
  </si>
  <si>
    <t>(i=g-h)</t>
    <phoneticPr fontId="11"/>
  </si>
  <si>
    <t>(j)</t>
    <phoneticPr fontId="11"/>
  </si>
  <si>
    <t>補てん財源不足額(▲)</t>
    <phoneticPr fontId="7"/>
  </si>
  <si>
    <t>(i+j)</t>
    <phoneticPr fontId="11"/>
  </si>
  <si>
    <t>（単位：百万円）</t>
    <phoneticPr fontId="7"/>
  </si>
  <si>
    <t>(c=a-b)</t>
    <phoneticPr fontId="8"/>
  </si>
  <si>
    <t>(f=d-e)</t>
    <phoneticPr fontId="8"/>
  </si>
  <si>
    <t>(g=c+f)</t>
    <phoneticPr fontId="8"/>
  </si>
  <si>
    <t>（注）原則として表示単位未満を四捨五入して端数調整していないため、合計等と一致しない場合がある。</t>
    <phoneticPr fontId="7"/>
  </si>
  <si>
    <t>５.第三セクター(公社・株式会社形態の三セク)の状況</t>
    <phoneticPr fontId="7"/>
  </si>
  <si>
    <t>　（単位：百万円）</t>
  </si>
  <si>
    <t>出資状況</t>
    <rPh sb="0" eb="2">
      <t>シュッシ</t>
    </rPh>
    <rPh sb="2" eb="4">
      <t>ジョウキョウ</t>
    </rPh>
    <phoneticPr fontId="7"/>
  </si>
  <si>
    <t>出資団体数</t>
  </si>
  <si>
    <t>出資金額</t>
    <rPh sb="0" eb="2">
      <t>シュッシ</t>
    </rPh>
    <rPh sb="2" eb="4">
      <t>キンガク</t>
    </rPh>
    <phoneticPr fontId="8"/>
  </si>
  <si>
    <t>総額</t>
  </si>
  <si>
    <t>当該団体</t>
  </si>
  <si>
    <t>その他団体</t>
  </si>
  <si>
    <t>民間</t>
  </si>
  <si>
    <t>国</t>
  </si>
  <si>
    <t>貸借対照表</t>
  </si>
  <si>
    <t>資産</t>
    <rPh sb="0" eb="2">
      <t>シサン</t>
    </rPh>
    <phoneticPr fontId="8"/>
  </si>
  <si>
    <t>流動資産</t>
  </si>
  <si>
    <t>固定資産</t>
  </si>
  <si>
    <t>繰延資産</t>
  </si>
  <si>
    <t>資産合計</t>
  </si>
  <si>
    <t>負債</t>
    <rPh sb="0" eb="2">
      <t>フサイ</t>
    </rPh>
    <phoneticPr fontId="8"/>
  </si>
  <si>
    <t>流動負債</t>
  </si>
  <si>
    <t>固定負債</t>
  </si>
  <si>
    <t>特別法上の引当金等</t>
  </si>
  <si>
    <t>負債合計</t>
  </si>
  <si>
    <t>資本</t>
    <rPh sb="0" eb="2">
      <t>シホン</t>
    </rPh>
    <phoneticPr fontId="8"/>
  </si>
  <si>
    <t>資本金</t>
  </si>
  <si>
    <t>剰余金</t>
  </si>
  <si>
    <t>法定準備金</t>
  </si>
  <si>
    <t>資本合計</t>
  </si>
  <si>
    <t>負債・資本合計</t>
  </si>
  <si>
    <t>損益計算書</t>
    <rPh sb="0" eb="2">
      <t>ソンエキ</t>
    </rPh>
    <rPh sb="2" eb="5">
      <t>ケイサンショ</t>
    </rPh>
    <phoneticPr fontId="7"/>
  </si>
  <si>
    <t>事業・経常損益</t>
    <rPh sb="0" eb="2">
      <t>ジギョウ</t>
    </rPh>
    <rPh sb="3" eb="5">
      <t>ケイジョウ</t>
    </rPh>
    <rPh sb="5" eb="7">
      <t>ソンエキ</t>
    </rPh>
    <phoneticPr fontId="8"/>
  </si>
  <si>
    <t>営業収益</t>
  </si>
  <si>
    <t>営業費用</t>
  </si>
  <si>
    <t>一般管理費</t>
    <rPh sb="0" eb="2">
      <t>イッパン</t>
    </rPh>
    <rPh sb="2" eb="5">
      <t>カンリヒ</t>
    </rPh>
    <phoneticPr fontId="7"/>
  </si>
  <si>
    <t>(c)</t>
    <phoneticPr fontId="7"/>
  </si>
  <si>
    <t xml:space="preserve">営業利益          </t>
  </si>
  <si>
    <t>(d=a-b-c)</t>
    <phoneticPr fontId="7"/>
  </si>
  <si>
    <t>営業外収益</t>
  </si>
  <si>
    <t>(e)</t>
    <phoneticPr fontId="7"/>
  </si>
  <si>
    <t>営業外費用</t>
  </si>
  <si>
    <t>(f)</t>
    <phoneticPr fontId="7"/>
  </si>
  <si>
    <t xml:space="preserve">経常利益      </t>
  </si>
  <si>
    <t>(g=d+e-f)</t>
    <phoneticPr fontId="7"/>
  </si>
  <si>
    <t>特別損失</t>
    <rPh sb="0" eb="2">
      <t>トクベツ</t>
    </rPh>
    <rPh sb="2" eb="4">
      <t>ソンシツ</t>
    </rPh>
    <phoneticPr fontId="8"/>
  </si>
  <si>
    <t>特別利益</t>
  </si>
  <si>
    <t>(h)</t>
    <phoneticPr fontId="7"/>
  </si>
  <si>
    <t>特別損失</t>
  </si>
  <si>
    <t>(i)</t>
    <phoneticPr fontId="7"/>
  </si>
  <si>
    <t>特定準備金計上前利益</t>
    <rPh sb="0" eb="2">
      <t>トクテイ</t>
    </rPh>
    <rPh sb="2" eb="5">
      <t>ジュンビキン</t>
    </rPh>
    <rPh sb="5" eb="7">
      <t>ケイジョウ</t>
    </rPh>
    <rPh sb="7" eb="8">
      <t>マエ</t>
    </rPh>
    <rPh sb="8" eb="10">
      <t>リエキ</t>
    </rPh>
    <phoneticPr fontId="7"/>
  </si>
  <si>
    <t>(j=g+h-i)</t>
    <phoneticPr fontId="7"/>
  </si>
  <si>
    <t>特定準備金取崩</t>
    <rPh sb="0" eb="2">
      <t>トクテイ</t>
    </rPh>
    <rPh sb="2" eb="5">
      <t>ジュンビキン</t>
    </rPh>
    <rPh sb="5" eb="7">
      <t>トリクズシ</t>
    </rPh>
    <phoneticPr fontId="7"/>
  </si>
  <si>
    <t>(k)</t>
    <phoneticPr fontId="7"/>
  </si>
  <si>
    <t>特定準備金繰入</t>
    <rPh sb="0" eb="2">
      <t>トクテイ</t>
    </rPh>
    <rPh sb="2" eb="5">
      <t>ジュンビキン</t>
    </rPh>
    <rPh sb="5" eb="7">
      <t>クリイレ</t>
    </rPh>
    <phoneticPr fontId="7"/>
  </si>
  <si>
    <t>(l)</t>
    <phoneticPr fontId="7"/>
  </si>
  <si>
    <t>法人税等</t>
  </si>
  <si>
    <t>(m)</t>
    <phoneticPr fontId="7"/>
  </si>
  <si>
    <t xml:space="preserve">当期利益  </t>
  </si>
  <si>
    <t>(ｎ=g+h-i-m)</t>
    <phoneticPr fontId="7"/>
  </si>
  <si>
    <t>（注１）住宅供給公社については（n=j+k-l-m）</t>
    <rPh sb="1" eb="2">
      <t>チュウ</t>
    </rPh>
    <rPh sb="4" eb="6">
      <t>ジュウタク</t>
    </rPh>
    <rPh sb="6" eb="8">
      <t>キョウキュウ</t>
    </rPh>
    <rPh sb="8" eb="10">
      <t>コウシャ</t>
    </rPh>
    <phoneticPr fontId="7"/>
  </si>
  <si>
    <t>前期繰越利益</t>
  </si>
  <si>
    <t>(o)</t>
    <phoneticPr fontId="7"/>
  </si>
  <si>
    <t xml:space="preserve">当期未処分利益    </t>
  </si>
  <si>
    <t>(p=n+o)</t>
    <phoneticPr fontId="7"/>
  </si>
  <si>
    <t>（注１）住宅供給公社については14年度から新公社会計基準を適用しているため、一般管理費、特定準備金計上前利益、特定準備金取崩・繰入額を計上している。</t>
    <rPh sb="4" eb="6">
      <t>ジュウタク</t>
    </rPh>
    <rPh sb="6" eb="8">
      <t>キョウキュウ</t>
    </rPh>
    <rPh sb="8" eb="10">
      <t>コウシャ</t>
    </rPh>
    <rPh sb="17" eb="19">
      <t>ネンド</t>
    </rPh>
    <rPh sb="21" eb="22">
      <t>シン</t>
    </rPh>
    <rPh sb="22" eb="24">
      <t>コウシャ</t>
    </rPh>
    <rPh sb="24" eb="26">
      <t>カイケイ</t>
    </rPh>
    <rPh sb="26" eb="28">
      <t>キジュン</t>
    </rPh>
    <rPh sb="29" eb="31">
      <t>テキヨウ</t>
    </rPh>
    <rPh sb="38" eb="40">
      <t>イッパン</t>
    </rPh>
    <rPh sb="40" eb="43">
      <t>カンリヒ</t>
    </rPh>
    <rPh sb="44" eb="46">
      <t>トクテイ</t>
    </rPh>
    <rPh sb="46" eb="49">
      <t>ジュンビキン</t>
    </rPh>
    <rPh sb="49" eb="51">
      <t>ケイジョウ</t>
    </rPh>
    <rPh sb="51" eb="52">
      <t>マエ</t>
    </rPh>
    <rPh sb="52" eb="54">
      <t>リエキ</t>
    </rPh>
    <rPh sb="55" eb="57">
      <t>トクテイ</t>
    </rPh>
    <rPh sb="57" eb="60">
      <t>ジュンビキン</t>
    </rPh>
    <rPh sb="60" eb="62">
      <t>トリクズシ</t>
    </rPh>
    <rPh sb="63" eb="65">
      <t>クリイレ</t>
    </rPh>
    <rPh sb="65" eb="66">
      <t>ガク</t>
    </rPh>
    <rPh sb="67" eb="69">
      <t>ケイジョウ</t>
    </rPh>
    <phoneticPr fontId="7"/>
  </si>
  <si>
    <t>（注２）原則として表示単位未満を四捨五入して端数調整していないため、合計等と一致しない場合がある。</t>
    <phoneticPr fontId="7"/>
  </si>
  <si>
    <t>元年度</t>
    <rPh sb="0" eb="1">
      <t>ガン</t>
    </rPh>
    <rPh sb="1" eb="3">
      <t>ネンド</t>
    </rPh>
    <phoneticPr fontId="7"/>
  </si>
  <si>
    <t>２年度</t>
    <rPh sb="1" eb="3">
      <t>ネンド</t>
    </rPh>
    <phoneticPr fontId="7"/>
  </si>
  <si>
    <t>予算額</t>
    <phoneticPr fontId="7"/>
  </si>
  <si>
    <t>決算額</t>
    <phoneticPr fontId="15"/>
  </si>
  <si>
    <t>３年度</t>
    <rPh sb="1" eb="3">
      <t>ネンド</t>
    </rPh>
    <phoneticPr fontId="7"/>
  </si>
  <si>
    <t>令和６年度</t>
    <rPh sb="3" eb="5">
      <t>ネンド</t>
    </rPh>
    <phoneticPr fontId="7"/>
  </si>
  <si>
    <t>４年度</t>
    <rPh sb="1" eb="3">
      <t>ネンド</t>
    </rPh>
    <phoneticPr fontId="7"/>
  </si>
  <si>
    <t>（1）令和７年度普通会計予算の状況</t>
    <rPh sb="8" eb="10">
      <t>フツウ</t>
    </rPh>
    <rPh sb="10" eb="12">
      <t>カイケイ</t>
    </rPh>
    <rPh sb="12" eb="14">
      <t>ヨサン</t>
    </rPh>
    <phoneticPr fontId="7"/>
  </si>
  <si>
    <t>令和７年度</t>
    <rPh sb="3" eb="5">
      <t>ネンド</t>
    </rPh>
    <phoneticPr fontId="7"/>
  </si>
  <si>
    <t>(令和７年度予算ﾍﾞｰｽ）</t>
    <rPh sb="6" eb="8">
      <t>ヨサン</t>
    </rPh>
    <phoneticPr fontId="7"/>
  </si>
  <si>
    <t>令和７年度</t>
    <phoneticPr fontId="7"/>
  </si>
  <si>
    <t>令和５年度</t>
    <rPh sb="3" eb="5">
      <t>ネンド</t>
    </rPh>
    <phoneticPr fontId="15"/>
  </si>
  <si>
    <t>令和４年度</t>
    <phoneticPr fontId="15"/>
  </si>
  <si>
    <t>５年度</t>
    <rPh sb="1" eb="3">
      <t>ネンド</t>
    </rPh>
    <phoneticPr fontId="7"/>
  </si>
  <si>
    <t>(令和５年度決算ﾍﾞｰｽ）</t>
    <rPh sb="4" eb="6">
      <t>ネンド</t>
    </rPh>
    <phoneticPr fontId="15"/>
  </si>
  <si>
    <t>(令和５年度決算額）</t>
    <rPh sb="4" eb="6">
      <t>ネンド</t>
    </rPh>
    <phoneticPr fontId="15"/>
  </si>
  <si>
    <t>（1）令和５年度普通会計決算の状況</t>
    <phoneticPr fontId="7"/>
  </si>
  <si>
    <r>
      <t>（注1）令和元年度は平成27年度国勢調査、令和</t>
    </r>
    <r>
      <rPr>
        <sz val="11"/>
        <rFont val="Meiryo UI"/>
        <family val="1"/>
        <charset val="128"/>
      </rPr>
      <t>2年度～令和5年度は令和2年度国勢調査</t>
    </r>
    <r>
      <rPr>
        <sz val="11"/>
        <rFont val="明朝"/>
        <family val="1"/>
        <charset val="128"/>
      </rPr>
      <t>を基に計上している。</t>
    </r>
    <rPh sb="4" eb="6">
      <t>レイワ</t>
    </rPh>
    <rPh sb="6" eb="8">
      <t>ガンネン</t>
    </rPh>
    <rPh sb="8" eb="9">
      <t>ド</t>
    </rPh>
    <rPh sb="9" eb="11">
      <t>ヘイネンド</t>
    </rPh>
    <rPh sb="10" eb="12">
      <t>ヘイセイ</t>
    </rPh>
    <rPh sb="14" eb="16">
      <t>ネンド</t>
    </rPh>
    <rPh sb="16" eb="18">
      <t>コクセイ</t>
    </rPh>
    <rPh sb="18" eb="20">
      <t>チョウサ</t>
    </rPh>
    <rPh sb="21" eb="23">
      <t>レイワ</t>
    </rPh>
    <rPh sb="24" eb="26">
      <t>ネンド</t>
    </rPh>
    <rPh sb="27" eb="29">
      <t>レイワ</t>
    </rPh>
    <rPh sb="30" eb="32">
      <t>ネンド</t>
    </rPh>
    <rPh sb="33" eb="35">
      <t>レイワ</t>
    </rPh>
    <rPh sb="36" eb="38">
      <t>ネンド</t>
    </rPh>
    <rPh sb="38" eb="42">
      <t>コクセイチョウサ</t>
    </rPh>
    <rPh sb="43" eb="44">
      <t>モト</t>
    </rPh>
    <rPh sb="45" eb="47">
      <t>ケイジョウ</t>
    </rPh>
    <phoneticPr fontId="9"/>
  </si>
  <si>
    <t>千葉市</t>
    <rPh sb="0" eb="3">
      <t>チバシ</t>
    </rPh>
    <phoneticPr fontId="7"/>
  </si>
  <si>
    <t>水道事業</t>
    <rPh sb="0" eb="2">
      <t>スイドウ</t>
    </rPh>
    <rPh sb="2" eb="4">
      <t>ジギョウ</t>
    </rPh>
    <phoneticPr fontId="7"/>
  </si>
  <si>
    <t>病院事業</t>
    <rPh sb="0" eb="2">
      <t>ビョウイン</t>
    </rPh>
    <rPh sb="2" eb="4">
      <t>ジギョウ</t>
    </rPh>
    <phoneticPr fontId="7"/>
  </si>
  <si>
    <t>下水道（公共・特環）</t>
    <rPh sb="0" eb="3">
      <t>ゲスイドウ</t>
    </rPh>
    <rPh sb="4" eb="6">
      <t>コウキョウ</t>
    </rPh>
    <rPh sb="7" eb="8">
      <t>トク</t>
    </rPh>
    <rPh sb="8" eb="9">
      <t>タマキ</t>
    </rPh>
    <phoneticPr fontId="7"/>
  </si>
  <si>
    <t>下水道事業（農業集落）</t>
    <rPh sb="0" eb="3">
      <t>ゲスイドウ</t>
    </rPh>
    <rPh sb="3" eb="5">
      <t>ジギョウ</t>
    </rPh>
    <rPh sb="6" eb="8">
      <t>ノウギョウ</t>
    </rPh>
    <rPh sb="8" eb="10">
      <t>シュウラク</t>
    </rPh>
    <phoneticPr fontId="10"/>
  </si>
  <si>
    <t>-</t>
    <phoneticPr fontId="19"/>
  </si>
  <si>
    <t>市場事業</t>
    <rPh sb="0" eb="2">
      <t>イチバ</t>
    </rPh>
    <rPh sb="2" eb="4">
      <t>ジギョウ</t>
    </rPh>
    <phoneticPr fontId="10"/>
  </si>
  <si>
    <t>観光施設事業</t>
    <rPh sb="0" eb="2">
      <t>カンコウ</t>
    </rPh>
    <rPh sb="2" eb="4">
      <t>シセツ</t>
    </rPh>
    <rPh sb="4" eb="6">
      <t>ジギョウ</t>
    </rPh>
    <phoneticPr fontId="10"/>
  </si>
  <si>
    <t>宅地造成事業</t>
    <rPh sb="0" eb="2">
      <t>タクチ</t>
    </rPh>
    <rPh sb="2" eb="4">
      <t>ゾウセイ</t>
    </rPh>
    <rPh sb="4" eb="6">
      <t>ジギョウ</t>
    </rPh>
    <phoneticPr fontId="10"/>
  </si>
  <si>
    <t>駐車場整備事業</t>
    <rPh sb="0" eb="2">
      <t>チュウシャ</t>
    </rPh>
    <rPh sb="2" eb="3">
      <t>ジョウ</t>
    </rPh>
    <rPh sb="3" eb="5">
      <t>セイビ</t>
    </rPh>
    <rPh sb="5" eb="7">
      <t>ジギョウ</t>
    </rPh>
    <phoneticPr fontId="10"/>
  </si>
  <si>
    <t>千葉市</t>
    <rPh sb="0" eb="3">
      <t>チバシ</t>
    </rPh>
    <phoneticPr fontId="15"/>
  </si>
  <si>
    <t>水道事業</t>
    <rPh sb="0" eb="2">
      <t>スイドウ</t>
    </rPh>
    <rPh sb="2" eb="4">
      <t>ジギョウ</t>
    </rPh>
    <phoneticPr fontId="6"/>
  </si>
  <si>
    <t>病院事業</t>
    <rPh sb="0" eb="2">
      <t>ビョウイン</t>
    </rPh>
    <rPh sb="2" eb="4">
      <t>ジギョウ</t>
    </rPh>
    <phoneticPr fontId="6"/>
  </si>
  <si>
    <t>下水道（公共・特環）</t>
    <rPh sb="0" eb="3">
      <t>ゲスイドウ</t>
    </rPh>
    <rPh sb="4" eb="6">
      <t>コウキョウ</t>
    </rPh>
    <rPh sb="7" eb="8">
      <t>トク</t>
    </rPh>
    <rPh sb="8" eb="9">
      <t>タマキ</t>
    </rPh>
    <phoneticPr fontId="6"/>
  </si>
  <si>
    <t>令和５年度</t>
    <rPh sb="3" eb="5">
      <t>ネンド</t>
    </rPh>
    <phoneticPr fontId="7"/>
  </si>
  <si>
    <t>令和４年度</t>
    <phoneticPr fontId="7"/>
  </si>
  <si>
    <t>駐車場整備事業</t>
    <rPh sb="0" eb="3">
      <t>チュウシャジョウ</t>
    </rPh>
    <rPh sb="3" eb="5">
      <t>セイビ</t>
    </rPh>
    <rPh sb="5" eb="7">
      <t>ジギョウ</t>
    </rPh>
    <phoneticPr fontId="9"/>
  </si>
  <si>
    <t>下水道事業（農業集落）</t>
    <rPh sb="0" eb="3">
      <t>ゲスイドウ</t>
    </rPh>
    <rPh sb="3" eb="5">
      <t>ジギョウ</t>
    </rPh>
    <rPh sb="6" eb="8">
      <t>ノウギョウ</t>
    </rPh>
    <rPh sb="8" eb="10">
      <t>シュウラク</t>
    </rPh>
    <phoneticPr fontId="9"/>
  </si>
  <si>
    <t>千葉市</t>
    <phoneticPr fontId="7"/>
  </si>
  <si>
    <t>住宅供給公社</t>
  </si>
  <si>
    <t>千葉都市モノレール株式会社</t>
  </si>
  <si>
    <t>市場事業</t>
    <rPh sb="0" eb="2">
      <t>イチバ</t>
    </rPh>
    <rPh sb="2" eb="4">
      <t>ジギョウ</t>
    </rPh>
    <phoneticPr fontId="9"/>
  </si>
  <si>
    <t>観光施設事業</t>
    <rPh sb="0" eb="2">
      <t>カンコウ</t>
    </rPh>
    <rPh sb="2" eb="4">
      <t>シセツ</t>
    </rPh>
    <rPh sb="4" eb="6">
      <t>ジギョウ</t>
    </rPh>
    <phoneticPr fontId="9"/>
  </si>
  <si>
    <t>宅地造成事業</t>
    <rPh sb="0" eb="2">
      <t>タクチ</t>
    </rPh>
    <rPh sb="2" eb="4">
      <t>ゾウセイ</t>
    </rPh>
    <rPh sb="4" eb="6">
      <t>ジギョウ</t>
    </rPh>
    <phoneticPr fontId="9"/>
  </si>
  <si>
    <t>-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</si>
</sst>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#,##0;&quot;△ &quot;#,##0"/>
    <numFmt numFmtId="177" formatCode="_ * #,##0_ ;_ * &quot;▲ &quot;#,##0_ ;_ * &quot;－&quot;_ ;_ @_ "/>
    <numFmt numFmtId="178" formatCode="_ * #,##0.0_ ;_ * &quot;▲ &quot;#,##0.0_ ;_ * &quot;－&quot;_ ;_ @_ "/>
    <numFmt numFmtId="179" formatCode="#,##0;[Red]&quot;△&quot;#,##0"/>
    <numFmt numFmtId="180" formatCode="_ * #,##0.00_ ;_ * &quot;▲ &quot;#,##0.00_ ;_ * &quot;－&quot;_ ;_ @_ "/>
    <numFmt numFmtId="181" formatCode="_ * #,##0.000_ ;_ * &quot;▲ &quot;#,##0.000_ ;_ * &quot;－&quot;_ ;_ @_ "/>
  </numFmts>
  <fonts count="27"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b/>
      <sz val="12"/>
      <name val="明朝"/>
      <family val="1"/>
      <charset val="128"/>
    </font>
    <font>
      <u/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明朝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ｺﾞｼｯｸ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明朝"/>
      <family val="1"/>
      <charset val="128"/>
    </font>
    <font>
      <sz val="9"/>
      <name val="明朝"/>
      <family val="1"/>
      <charset val="128"/>
    </font>
    <font>
      <sz val="6"/>
      <name val="明朝"/>
      <family val="3"/>
      <charset val="128"/>
    </font>
    <font>
      <sz val="8"/>
      <name val="明朝"/>
      <family val="1"/>
      <charset val="128"/>
    </font>
    <font>
      <sz val="11"/>
      <name val="Meiryo UI"/>
      <family val="1"/>
      <charset val="128"/>
    </font>
    <font>
      <sz val="11"/>
      <name val="游ゴシック"/>
      <family val="1"/>
      <charset val="128"/>
    </font>
    <font>
      <sz val="6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1"/>
      <name val="ＭＳ Ｐゴシック"/>
      <family val="1"/>
      <charset val="128"/>
    </font>
    <font>
      <b/>
      <sz val="12"/>
      <name val="ＭＳ Ｐゴシック"/>
      <family val="1"/>
      <charset val="128"/>
    </font>
    <font>
      <b/>
      <sz val="11"/>
      <name val="ＭＳ Ｐゴシック"/>
      <family val="1"/>
      <charset val="128"/>
    </font>
    <font>
      <sz val="11"/>
      <color theme="1"/>
      <name val="明朝"/>
      <family val="1"/>
      <charset val="128"/>
    </font>
    <font>
      <sz val="11"/>
      <color rgb="FFFF0000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2" fillId="0" borderId="0"/>
    <xf numFmtId="38" fontId="2" fillId="0" borderId="0" applyFont="0" applyFill="0" applyBorder="0" applyAlignment="0" applyProtection="0"/>
    <xf numFmtId="0" fontId="2" fillId="0" borderId="0"/>
  </cellStyleXfs>
  <cellXfs count="139">
    <xf numFmtId="0" fontId="0" fillId="0" borderId="0" xfId="0"/>
    <xf numFmtId="41" fontId="0" fillId="0" borderId="0" xfId="0" applyNumberFormat="1" applyAlignment="1">
      <alignment vertical="center"/>
    </xf>
    <xf numFmtId="41" fontId="4" fillId="0" borderId="0" xfId="0" applyNumberFormat="1" applyFont="1" applyAlignment="1">
      <alignment vertical="center"/>
    </xf>
    <xf numFmtId="41" fontId="3" fillId="0" borderId="0" xfId="0" applyNumberFormat="1" applyFont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0" fillId="0" borderId="4" xfId="0" applyNumberFormat="1" applyBorder="1" applyAlignment="1">
      <alignment vertical="center"/>
    </xf>
    <xf numFmtId="41" fontId="0" fillId="0" borderId="5" xfId="0" applyNumberFormat="1" applyBorder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41" fontId="2" fillId="0" borderId="0" xfId="0" applyNumberFormat="1" applyFont="1" applyAlignment="1">
      <alignment vertical="center"/>
    </xf>
    <xf numFmtId="41" fontId="0" fillId="0" borderId="4" xfId="0" applyNumberFormat="1" applyBorder="1" applyAlignment="1">
      <alignment horizontal="left" vertical="center"/>
    </xf>
    <xf numFmtId="0" fontId="3" fillId="0" borderId="4" xfId="0" applyFont="1" applyBorder="1" applyAlignment="1">
      <alignment horizontal="distributed" vertical="center"/>
    </xf>
    <xf numFmtId="41" fontId="1" fillId="0" borderId="0" xfId="0" applyNumberFormat="1" applyFont="1" applyAlignment="1">
      <alignment horizontal="distributed" vertical="center"/>
    </xf>
    <xf numFmtId="41" fontId="6" fillId="0" borderId="0" xfId="0" applyNumberFormat="1" applyFont="1" applyAlignment="1">
      <alignment horizontal="left" vertical="center"/>
    </xf>
    <xf numFmtId="41" fontId="0" fillId="0" borderId="0" xfId="0" quotePrefix="1" applyNumberFormat="1" applyAlignment="1">
      <alignment horizontal="right" vertical="center"/>
    </xf>
    <xf numFmtId="0" fontId="3" fillId="0" borderId="4" xfId="0" applyFon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quotePrefix="1" applyNumberFormat="1" applyAlignment="1">
      <alignment horizontal="right" vertical="center"/>
    </xf>
    <xf numFmtId="0" fontId="1" fillId="0" borderId="4" xfId="0" applyFont="1" applyBorder="1" applyAlignment="1">
      <alignment horizontal="distributed" vertical="center" justifyLastLine="1"/>
    </xf>
    <xf numFmtId="177" fontId="2" fillId="0" borderId="0" xfId="1" applyNumberFormat="1" applyBorder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1" quotePrefix="1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41" fontId="13" fillId="0" borderId="0" xfId="0" applyNumberFormat="1" applyFont="1" applyAlignment="1">
      <alignment vertical="center"/>
    </xf>
    <xf numFmtId="41" fontId="13" fillId="0" borderId="0" xfId="0" applyNumberFormat="1" applyFont="1" applyAlignment="1">
      <alignment horizontal="left" vertical="center"/>
    </xf>
    <xf numFmtId="41" fontId="0" fillId="0" borderId="8" xfId="0" applyNumberFormat="1" applyBorder="1" applyAlignment="1">
      <alignment horizontal="center" vertical="center"/>
    </xf>
    <xf numFmtId="41" fontId="0" fillId="0" borderId="9" xfId="0" applyNumberFormat="1" applyBorder="1" applyAlignment="1">
      <alignment horizontal="center" vertical="center"/>
    </xf>
    <xf numFmtId="41" fontId="0" fillId="0" borderId="8" xfId="0" applyNumberFormat="1" applyBorder="1" applyAlignment="1">
      <alignment vertical="center"/>
    </xf>
    <xf numFmtId="0" fontId="0" fillId="0" borderId="0" xfId="0" applyAlignment="1">
      <alignment vertical="center"/>
    </xf>
    <xf numFmtId="4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Continuous" vertical="center" wrapText="1"/>
    </xf>
    <xf numFmtId="178" fontId="0" fillId="0" borderId="0" xfId="1" applyNumberFormat="1" applyFont="1" applyBorder="1" applyAlignment="1">
      <alignment vertical="center"/>
    </xf>
    <xf numFmtId="0" fontId="3" fillId="0" borderId="4" xfId="0" applyFont="1" applyBorder="1" applyAlignment="1">
      <alignment horizontal="centerContinuous" vertical="center"/>
    </xf>
    <xf numFmtId="41" fontId="3" fillId="0" borderId="0" xfId="0" applyNumberFormat="1" applyFont="1" applyAlignment="1">
      <alignment horizontal="distributed" vertical="center"/>
    </xf>
    <xf numFmtId="41" fontId="0" fillId="0" borderId="0" xfId="0" applyNumberFormat="1" applyAlignment="1">
      <alignment horizontal="right" vertical="center"/>
    </xf>
    <xf numFmtId="178" fontId="0" fillId="0" borderId="0" xfId="0" applyNumberFormat="1" applyAlignment="1">
      <alignment vertical="center"/>
    </xf>
    <xf numFmtId="178" fontId="2" fillId="0" borderId="0" xfId="1" applyNumberFormat="1" applyFill="1" applyBorder="1" applyAlignment="1">
      <alignment vertical="center"/>
    </xf>
    <xf numFmtId="41" fontId="2" fillId="0" borderId="0" xfId="0" applyNumberFormat="1" applyFont="1" applyAlignment="1">
      <alignment horizontal="left"/>
    </xf>
    <xf numFmtId="41" fontId="3" fillId="0" borderId="4" xfId="0" applyNumberFormat="1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/>
    </xf>
    <xf numFmtId="41" fontId="5" fillId="0" borderId="4" xfId="0" applyNumberFormat="1" applyFont="1" applyBorder="1" applyAlignment="1">
      <alignment horizontal="left" vertical="center"/>
    </xf>
    <xf numFmtId="41" fontId="0" fillId="0" borderId="1" xfId="0" applyNumberFormat="1" applyBorder="1" applyAlignment="1">
      <alignment horizontal="centerContinuous" vertical="center"/>
    </xf>
    <xf numFmtId="41" fontId="0" fillId="0" borderId="2" xfId="0" applyNumberFormat="1" applyBorder="1" applyAlignment="1">
      <alignment horizontal="centerContinuous" vertical="center"/>
    </xf>
    <xf numFmtId="41" fontId="0" fillId="0" borderId="3" xfId="0" applyNumberFormat="1" applyBorder="1" applyAlignment="1">
      <alignment horizontal="centerContinuous" vertical="center"/>
    </xf>
    <xf numFmtId="41" fontId="0" fillId="0" borderId="4" xfId="0" applyNumberFormat="1" applyBorder="1" applyAlignment="1">
      <alignment horizontal="centerContinuous" vertical="center"/>
    </xf>
    <xf numFmtId="41" fontId="2" fillId="0" borderId="0" xfId="0" applyNumberFormat="1" applyFont="1" applyAlignment="1">
      <alignment horizontal="left" vertical="center"/>
    </xf>
    <xf numFmtId="41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centerContinuous" vertical="center"/>
    </xf>
    <xf numFmtId="0" fontId="2" fillId="0" borderId="8" xfId="0" applyFont="1" applyBorder="1" applyAlignment="1">
      <alignment horizontal="centerContinuous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41" fontId="0" fillId="0" borderId="8" xfId="0" applyNumberFormat="1" applyBorder="1" applyAlignment="1">
      <alignment horizontal="left" vertical="center"/>
    </xf>
    <xf numFmtId="177" fontId="0" fillId="0" borderId="8" xfId="1" applyNumberFormat="1" applyFont="1" applyBorder="1" applyAlignment="1">
      <alignment vertical="center"/>
    </xf>
    <xf numFmtId="178" fontId="0" fillId="0" borderId="8" xfId="1" applyNumberFormat="1" applyFont="1" applyBorder="1" applyAlignment="1">
      <alignment vertical="center"/>
    </xf>
    <xf numFmtId="41" fontId="14" fillId="0" borderId="8" xfId="0" applyNumberFormat="1" applyFont="1" applyBorder="1" applyAlignment="1">
      <alignment vertical="center"/>
    </xf>
    <xf numFmtId="41" fontId="0" fillId="0" borderId="7" xfId="0" applyNumberFormat="1" applyBorder="1" applyAlignment="1">
      <alignment vertical="center"/>
    </xf>
    <xf numFmtId="41" fontId="0" fillId="0" borderId="6" xfId="0" applyNumberFormat="1" applyBorder="1" applyAlignment="1">
      <alignment vertical="center"/>
    </xf>
    <xf numFmtId="41" fontId="0" fillId="0" borderId="10" xfId="0" applyNumberFormat="1" applyBorder="1" applyAlignment="1">
      <alignment horizontal="left" vertical="center"/>
    </xf>
    <xf numFmtId="41" fontId="0" fillId="0" borderId="9" xfId="0" applyNumberFormat="1" applyBorder="1" applyAlignment="1">
      <alignment vertical="center"/>
    </xf>
    <xf numFmtId="41" fontId="0" fillId="0" borderId="11" xfId="0" applyNumberFormat="1" applyBorder="1" applyAlignment="1">
      <alignment vertical="center"/>
    </xf>
    <xf numFmtId="41" fontId="0" fillId="0" borderId="10" xfId="0" applyNumberFormat="1" applyBorder="1" applyAlignment="1">
      <alignment vertical="center"/>
    </xf>
    <xf numFmtId="41" fontId="0" fillId="0" borderId="8" xfId="0" applyNumberFormat="1" applyBorder="1" applyAlignment="1">
      <alignment horizontal="right" vertical="center"/>
    </xf>
    <xf numFmtId="177" fontId="2" fillId="0" borderId="8" xfId="1" applyNumberFormat="1" applyBorder="1" applyAlignment="1">
      <alignment vertical="center"/>
    </xf>
    <xf numFmtId="177" fontId="0" fillId="0" borderId="8" xfId="0" quotePrefix="1" applyNumberFormat="1" applyBorder="1" applyAlignment="1">
      <alignment horizontal="right" vertical="center"/>
    </xf>
    <xf numFmtId="177" fontId="2" fillId="0" borderId="8" xfId="1" quotePrefix="1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41" fontId="0" fillId="0" borderId="8" xfId="0" applyNumberFormat="1" applyBorder="1" applyAlignment="1">
      <alignment horizontal="centerContinuous" vertical="center"/>
    </xf>
    <xf numFmtId="177" fontId="0" fillId="0" borderId="8" xfId="0" applyNumberFormat="1" applyBorder="1" applyAlignment="1">
      <alignment vertical="center"/>
    </xf>
    <xf numFmtId="177" fontId="2" fillId="0" borderId="8" xfId="1" applyNumberFormat="1" applyFill="1" applyBorder="1" applyAlignment="1">
      <alignment horizontal="right" vertical="center"/>
    </xf>
    <xf numFmtId="177" fontId="2" fillId="0" borderId="8" xfId="1" applyNumberFormat="1" applyBorder="1" applyAlignment="1">
      <alignment horizontal="right" vertical="center"/>
    </xf>
    <xf numFmtId="180" fontId="0" fillId="0" borderId="8" xfId="0" applyNumberFormat="1" applyBorder="1" applyAlignment="1">
      <alignment vertical="center"/>
    </xf>
    <xf numFmtId="41" fontId="2" fillId="0" borderId="8" xfId="0" applyNumberFormat="1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181" fontId="0" fillId="0" borderId="8" xfId="0" applyNumberFormat="1" applyBorder="1" applyAlignment="1">
      <alignment vertical="center"/>
    </xf>
    <xf numFmtId="181" fontId="2" fillId="0" borderId="8" xfId="1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2" fillId="0" borderId="8" xfId="1" applyNumberFormat="1" applyBorder="1" applyAlignment="1">
      <alignment vertical="center"/>
    </xf>
    <xf numFmtId="178" fontId="2" fillId="0" borderId="8" xfId="1" applyNumberFormat="1" applyFill="1" applyBorder="1" applyAlignment="1">
      <alignment vertical="center"/>
    </xf>
    <xf numFmtId="41" fontId="0" fillId="0" borderId="9" xfId="0" applyNumberFormat="1" applyBorder="1" applyAlignment="1">
      <alignment horizontal="left" vertical="center"/>
    </xf>
    <xf numFmtId="41" fontId="2" fillId="0" borderId="8" xfId="0" applyNumberFormat="1" applyFont="1" applyBorder="1" applyAlignment="1">
      <alignment vertical="center"/>
    </xf>
    <xf numFmtId="0" fontId="0" fillId="0" borderId="8" xfId="0" applyBorder="1" applyAlignment="1">
      <alignment horizontal="distributed" vertical="center"/>
    </xf>
    <xf numFmtId="177" fontId="2" fillId="0" borderId="8" xfId="1" applyNumberFormat="1" applyBorder="1" applyAlignment="1">
      <alignment horizontal="center" vertical="center"/>
    </xf>
    <xf numFmtId="177" fontId="2" fillId="0" borderId="8" xfId="1" applyNumberFormat="1" applyFill="1" applyBorder="1" applyAlignment="1">
      <alignment vertical="center"/>
    </xf>
    <xf numFmtId="41" fontId="0" fillId="0" borderId="8" xfId="0" quotePrefix="1" applyNumberFormat="1" applyBorder="1" applyAlignment="1">
      <alignment horizontal="right" vertical="center"/>
    </xf>
    <xf numFmtId="41" fontId="0" fillId="0" borderId="7" xfId="0" applyNumberFormat="1" applyBorder="1" applyAlignment="1">
      <alignment horizontal="centerContinuous" vertical="center"/>
    </xf>
    <xf numFmtId="41" fontId="0" fillId="0" borderId="6" xfId="0" applyNumberFormat="1" applyBorder="1" applyAlignment="1">
      <alignment horizontal="centerContinuous" vertical="center"/>
    </xf>
    <xf numFmtId="177" fontId="2" fillId="0" borderId="8" xfId="4" applyNumberFormat="1" applyFont="1" applyBorder="1" applyAlignment="1">
      <alignment vertical="center"/>
    </xf>
    <xf numFmtId="177" fontId="2" fillId="0" borderId="8" xfId="4" applyNumberFormat="1" applyFont="1" applyFill="1" applyBorder="1" applyAlignment="1">
      <alignment vertical="center"/>
    </xf>
    <xf numFmtId="177" fontId="2" fillId="0" borderId="8" xfId="5" quotePrefix="1" applyNumberFormat="1" applyBorder="1" applyAlignment="1">
      <alignment horizontal="right" vertical="center"/>
    </xf>
    <xf numFmtId="177" fontId="18" fillId="0" borderId="8" xfId="4" applyNumberFormat="1" applyFont="1" applyBorder="1" applyAlignment="1">
      <alignment horizontal="right" vertical="center"/>
    </xf>
    <xf numFmtId="177" fontId="2" fillId="0" borderId="8" xfId="1" quotePrefix="1" applyNumberFormat="1" applyFont="1" applyFill="1" applyBorder="1" applyAlignment="1">
      <alignment horizontal="right" vertical="center"/>
    </xf>
    <xf numFmtId="177" fontId="18" fillId="0" borderId="8" xfId="4" quotePrefix="1" applyNumberFormat="1" applyFont="1" applyBorder="1" applyAlignment="1">
      <alignment horizontal="right" vertical="center"/>
    </xf>
    <xf numFmtId="177" fontId="2" fillId="0" borderId="8" xfId="4" quotePrefix="1" applyNumberFormat="1" applyFont="1" applyFill="1" applyBorder="1" applyAlignment="1">
      <alignment horizontal="right" vertical="center"/>
    </xf>
    <xf numFmtId="177" fontId="2" fillId="0" borderId="8" xfId="4" applyNumberFormat="1" applyFill="1" applyBorder="1" applyAlignment="1">
      <alignment vertical="center"/>
    </xf>
    <xf numFmtId="177" fontId="2" fillId="0" borderId="8" xfId="4" quotePrefix="1" applyNumberFormat="1" applyFont="1" applyBorder="1" applyAlignment="1">
      <alignment horizontal="right" vertical="center"/>
    </xf>
    <xf numFmtId="177" fontId="22" fillId="0" borderId="8" xfId="4" applyNumberFormat="1" applyFont="1" applyBorder="1" applyAlignment="1">
      <alignment vertical="center"/>
    </xf>
    <xf numFmtId="0" fontId="23" fillId="0" borderId="4" xfId="0" applyFont="1" applyBorder="1" applyAlignment="1">
      <alignment horizontal="distributed" vertical="center" justifyLastLine="1"/>
    </xf>
    <xf numFmtId="177" fontId="2" fillId="0" borderId="8" xfId="1" applyNumberFormat="1" applyFont="1" applyFill="1" applyBorder="1" applyAlignment="1">
      <alignment horizontal="right" vertical="center"/>
    </xf>
    <xf numFmtId="178" fontId="2" fillId="0" borderId="8" xfId="1" applyNumberFormat="1" applyFont="1" applyBorder="1" applyAlignment="1">
      <alignment vertical="center"/>
    </xf>
    <xf numFmtId="0" fontId="24" fillId="0" borderId="4" xfId="0" applyFont="1" applyBorder="1" applyAlignment="1">
      <alignment horizontal="distributed" vertical="center" justifyLastLine="1"/>
    </xf>
    <xf numFmtId="177" fontId="22" fillId="0" borderId="8" xfId="4" quotePrefix="1" applyNumberFormat="1" applyFont="1" applyFill="1" applyBorder="1" applyAlignment="1">
      <alignment horizontal="right" vertical="center"/>
    </xf>
    <xf numFmtId="177" fontId="25" fillId="0" borderId="8" xfId="4" applyNumberFormat="1" applyFont="1" applyFill="1" applyBorder="1" applyAlignment="1">
      <alignment vertical="center"/>
    </xf>
    <xf numFmtId="177" fontId="2" fillId="0" borderId="8" xfId="1" applyNumberFormat="1" applyFill="1" applyBorder="1" applyAlignment="1">
      <alignment horizontal="center" vertical="center"/>
    </xf>
    <xf numFmtId="177" fontId="2" fillId="0" borderId="8" xfId="4" applyNumberFormat="1" applyBorder="1" applyAlignment="1">
      <alignment horizontal="center" vertical="center"/>
    </xf>
    <xf numFmtId="177" fontId="18" fillId="0" borderId="8" xfId="4" applyNumberFormat="1" applyFont="1" applyBorder="1" applyAlignment="1">
      <alignment horizontal="center" vertical="center"/>
    </xf>
    <xf numFmtId="177" fontId="2" fillId="0" borderId="8" xfId="4" applyNumberFormat="1" applyBorder="1" applyAlignment="1">
      <alignment vertical="center"/>
    </xf>
    <xf numFmtId="178" fontId="22" fillId="0" borderId="8" xfId="1" applyNumberFormat="1" applyFont="1" applyBorder="1" applyAlignment="1">
      <alignment vertical="center"/>
    </xf>
    <xf numFmtId="177" fontId="0" fillId="0" borderId="8" xfId="1" applyNumberFormat="1" applyFont="1" applyFill="1" applyBorder="1" applyAlignment="1">
      <alignment vertical="center"/>
    </xf>
    <xf numFmtId="177" fontId="26" fillId="0" borderId="8" xfId="1" applyNumberFormat="1" applyFont="1" applyFill="1" applyBorder="1" applyAlignment="1">
      <alignment vertical="center"/>
    </xf>
    <xf numFmtId="177" fontId="18" fillId="0" borderId="8" xfId="1" quotePrefix="1" applyNumberFormat="1" applyFont="1" applyFill="1" applyBorder="1" applyAlignment="1">
      <alignment horizontal="right" vertical="center"/>
    </xf>
    <xf numFmtId="177" fontId="26" fillId="0" borderId="8" xfId="4" applyNumberFormat="1" applyFont="1" applyFill="1" applyBorder="1" applyAlignment="1">
      <alignment vertical="center"/>
    </xf>
    <xf numFmtId="41" fontId="3" fillId="0" borderId="4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 textRotation="255"/>
    </xf>
    <xf numFmtId="41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177" fontId="2" fillId="0" borderId="8" xfId="4" applyNumberFormat="1" applyFill="1" applyBorder="1" applyAlignment="1">
      <alignment vertical="center"/>
    </xf>
    <xf numFmtId="177" fontId="2" fillId="0" borderId="8" xfId="5" applyNumberFormat="1" applyBorder="1" applyAlignment="1">
      <alignment vertical="center"/>
    </xf>
    <xf numFmtId="179" fontId="9" fillId="0" borderId="8" xfId="1" applyNumberFormat="1" applyFont="1" applyBorder="1" applyAlignment="1">
      <alignment vertical="center" textRotation="255"/>
    </xf>
    <xf numFmtId="0" fontId="12" fillId="0" borderId="8" xfId="3" applyBorder="1" applyAlignment="1">
      <alignment vertical="center"/>
    </xf>
    <xf numFmtId="0" fontId="10" fillId="0" borderId="8" xfId="0" applyFont="1" applyBorder="1" applyAlignment="1">
      <alignment horizontal="distributed" vertical="center" justifyLastLine="1"/>
    </xf>
    <xf numFmtId="0" fontId="10" fillId="0" borderId="8" xfId="2" applyFont="1" applyBorder="1" applyAlignment="1">
      <alignment horizontal="distributed" vertical="center" justifyLastLine="1"/>
    </xf>
    <xf numFmtId="4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177" fontId="2" fillId="0" borderId="8" xfId="1" applyNumberFormat="1" applyFill="1" applyBorder="1" applyAlignment="1">
      <alignment vertical="center"/>
    </xf>
    <xf numFmtId="177" fontId="0" fillId="0" borderId="8" xfId="0" applyNumberFormat="1" applyBorder="1" applyAlignment="1">
      <alignment vertical="center"/>
    </xf>
    <xf numFmtId="0" fontId="12" fillId="0" borderId="8" xfId="3" applyBorder="1" applyAlignment="1">
      <alignment vertical="center" textRotation="255"/>
    </xf>
    <xf numFmtId="177" fontId="2" fillId="0" borderId="8" xfId="4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7" fontId="2" fillId="0" borderId="8" xfId="1" applyNumberFormat="1" applyBorder="1" applyAlignment="1">
      <alignment vertical="center"/>
    </xf>
    <xf numFmtId="177" fontId="26" fillId="0" borderId="10" xfId="4" applyNumberFormat="1" applyFont="1" applyFill="1" applyBorder="1" applyAlignment="1">
      <alignment vertical="center"/>
    </xf>
    <xf numFmtId="177" fontId="26" fillId="0" borderId="9" xfId="4" applyNumberFormat="1" applyFont="1" applyFill="1" applyBorder="1" applyAlignment="1">
      <alignment vertical="center"/>
    </xf>
    <xf numFmtId="41" fontId="2" fillId="0" borderId="8" xfId="5" applyNumberFormat="1" applyBorder="1" applyAlignment="1">
      <alignment horizontal="center" vertical="center"/>
    </xf>
    <xf numFmtId="41" fontId="2" fillId="0" borderId="8" xfId="5" applyNumberFormat="1" applyBorder="1" applyAlignment="1">
      <alignment horizontal="center" vertical="center" shrinkToFit="1"/>
    </xf>
    <xf numFmtId="41" fontId="0" fillId="0" borderId="8" xfId="0" applyNumberFormat="1" applyBorder="1" applyAlignment="1">
      <alignment horizontal="center" vertical="center"/>
    </xf>
    <xf numFmtId="41" fontId="16" fillId="0" borderId="8" xfId="0" applyNumberFormat="1" applyFont="1" applyBorder="1" applyAlignment="1">
      <alignment horizontal="right" vertical="center"/>
    </xf>
  </cellXfs>
  <cellStyles count="6">
    <cellStyle name="桁区切り" xfId="1" builtinId="6"/>
    <cellStyle name="桁区切り 2" xfId="4" xr:uid="{C6F29066-E9F1-4580-B507-1DCCDC6754F9}"/>
    <cellStyle name="標準" xfId="0" builtinId="0"/>
    <cellStyle name="標準 2" xfId="5" xr:uid="{28CBCE62-597F-4C2A-86E5-6EB79E8F4477}"/>
    <cellStyle name="標準_Ｈ１０決算ベース" xfId="2" xr:uid="{00000000-0005-0000-0000-000002000000}"/>
    <cellStyle name="標準_地方債公営企業" xfId="3" xr:uid="{00000000-0005-0000-0000-000003000000}"/>
  </cellStyles>
  <dxfs count="3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fgColor auto="1"/>
          <bgColor rgb="FFFFFF00"/>
        </patternFill>
      </fill>
    </dxf>
    <dxf>
      <fill>
        <patternFill>
          <bgColor rgb="FFFFFF00"/>
        </patternFill>
      </fill>
    </dxf>
    <dxf>
      <fill>
        <patternFill>
          <fgColor auto="1"/>
          <bgColor rgb="FFFFFF00"/>
        </patternFill>
      </fill>
    </dxf>
    <dxf>
      <fill>
        <patternFill>
          <fgColor auto="1"/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fgColor auto="1"/>
          <bgColor rgb="FFFFFF00"/>
        </patternFill>
      </fill>
    </dxf>
    <dxf>
      <fill>
        <patternFill>
          <fgColor auto="1"/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fgColor auto="1"/>
          <bgColor rgb="FFFFFF00"/>
        </patternFill>
      </fill>
    </dxf>
    <dxf>
      <fill>
        <patternFill>
          <fgColor auto="1"/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view="pageBreakPreview" zoomScaleNormal="100" zoomScaleSheetLayoutView="100" workbookViewId="0">
      <pane xSplit="5" ySplit="8" topLeftCell="F9" activePane="bottomRight" state="frozen"/>
      <selection activeCell="I16" sqref="I16"/>
      <selection pane="topRight" activeCell="I16" sqref="I16"/>
      <selection pane="bottomLeft" activeCell="I16" sqref="I16"/>
      <selection pane="bottomRight" activeCell="F24" sqref="F24"/>
    </sheetView>
  </sheetViews>
  <sheetFormatPr defaultColWidth="9" defaultRowHeight="13"/>
  <cols>
    <col min="1" max="2" width="3.6328125" style="1" customWidth="1"/>
    <col min="3" max="4" width="1.6328125" style="1" customWidth="1"/>
    <col min="5" max="5" width="32.6328125" style="1" customWidth="1"/>
    <col min="6" max="6" width="15.6328125" style="1" customWidth="1"/>
    <col min="7" max="7" width="10.6328125" style="1" customWidth="1"/>
    <col min="8" max="8" width="15.6328125" style="1" customWidth="1"/>
    <col min="9" max="9" width="10.6328125" style="1" customWidth="1"/>
    <col min="10" max="12" width="9" style="1"/>
    <col min="13" max="13" width="9.90625" style="1" customWidth="1"/>
    <col min="14" max="16384" width="9" style="1"/>
  </cols>
  <sheetData>
    <row r="1" spans="1:9" ht="34" customHeight="1">
      <c r="A1" s="114" t="s">
        <v>0</v>
      </c>
      <c r="B1" s="114"/>
      <c r="C1" s="114"/>
      <c r="D1" s="114"/>
      <c r="E1" s="99" t="s">
        <v>244</v>
      </c>
      <c r="F1" s="2"/>
    </row>
    <row r="3" spans="1:9" ht="14">
      <c r="A3" s="10" t="s">
        <v>103</v>
      </c>
    </row>
    <row r="5" spans="1:9">
      <c r="A5" s="9" t="s">
        <v>233</v>
      </c>
    </row>
    <row r="6" spans="1:9" ht="14">
      <c r="A6" s="3"/>
      <c r="G6" s="116" t="s">
        <v>104</v>
      </c>
      <c r="H6" s="117"/>
      <c r="I6" s="117"/>
    </row>
    <row r="7" spans="1:9" ht="27" customHeight="1">
      <c r="A7" s="8"/>
      <c r="B7" s="4"/>
      <c r="C7" s="4"/>
      <c r="D7" s="4"/>
      <c r="E7" s="58"/>
      <c r="F7" s="50" t="s">
        <v>234</v>
      </c>
      <c r="G7" s="50"/>
      <c r="H7" s="50" t="s">
        <v>231</v>
      </c>
      <c r="I7" s="51" t="s">
        <v>20</v>
      </c>
    </row>
    <row r="8" spans="1:9" ht="17.149999999999999" customHeight="1">
      <c r="A8" s="5"/>
      <c r="B8" s="6"/>
      <c r="C8" s="6"/>
      <c r="D8" s="6"/>
      <c r="E8" s="59"/>
      <c r="F8" s="52" t="s">
        <v>101</v>
      </c>
      <c r="G8" s="52" t="s">
        <v>1</v>
      </c>
      <c r="H8" s="52" t="s">
        <v>228</v>
      </c>
      <c r="I8" s="53"/>
    </row>
    <row r="9" spans="1:9" ht="18" customHeight="1">
      <c r="A9" s="115" t="s">
        <v>79</v>
      </c>
      <c r="B9" s="115" t="s">
        <v>80</v>
      </c>
      <c r="C9" s="60" t="s">
        <v>2</v>
      </c>
      <c r="D9" s="54"/>
      <c r="E9" s="54"/>
      <c r="F9" s="55">
        <v>221200</v>
      </c>
      <c r="G9" s="56">
        <f t="shared" ref="G9:G22" si="0">F9/$F$22*100</f>
        <v>39.63497123239317</v>
      </c>
      <c r="H9" s="55">
        <v>205400</v>
      </c>
      <c r="I9" s="56">
        <f t="shared" ref="I9:I21" si="1">(F9/H9-1)*100</f>
        <v>7.6923076923076872</v>
      </c>
    </row>
    <row r="10" spans="1:9" ht="18" customHeight="1">
      <c r="A10" s="115"/>
      <c r="B10" s="115"/>
      <c r="C10" s="62"/>
      <c r="D10" s="60" t="s">
        <v>21</v>
      </c>
      <c r="E10" s="54"/>
      <c r="F10" s="55">
        <f>SUM(F11:F12)</f>
        <v>118639</v>
      </c>
      <c r="G10" s="56">
        <f t="shared" si="0"/>
        <v>21.257926546292463</v>
      </c>
      <c r="H10" s="55">
        <f>SUM(H11:H12)</f>
        <v>104615</v>
      </c>
      <c r="I10" s="56">
        <f t="shared" si="1"/>
        <v>13.405343401997794</v>
      </c>
    </row>
    <row r="11" spans="1:9" ht="18" customHeight="1">
      <c r="A11" s="115"/>
      <c r="B11" s="115"/>
      <c r="C11" s="49"/>
      <c r="D11" s="49"/>
      <c r="E11" s="29" t="s">
        <v>22</v>
      </c>
      <c r="F11" s="55">
        <v>103642</v>
      </c>
      <c r="G11" s="56">
        <f t="shared" si="0"/>
        <v>18.570740002114345</v>
      </c>
      <c r="H11" s="55">
        <v>91833</v>
      </c>
      <c r="I11" s="56">
        <f t="shared" si="1"/>
        <v>12.859211830169981</v>
      </c>
    </row>
    <row r="12" spans="1:9" ht="18" customHeight="1">
      <c r="A12" s="115"/>
      <c r="B12" s="115"/>
      <c r="C12" s="49"/>
      <c r="D12" s="28"/>
      <c r="E12" s="29" t="s">
        <v>23</v>
      </c>
      <c r="F12" s="55">
        <v>14997</v>
      </c>
      <c r="G12" s="56">
        <f>F12/$F$22*100</f>
        <v>2.6871865441781209</v>
      </c>
      <c r="H12" s="55">
        <v>12782</v>
      </c>
      <c r="I12" s="56">
        <f t="shared" si="1"/>
        <v>17.32905648568299</v>
      </c>
    </row>
    <row r="13" spans="1:9" ht="18" customHeight="1">
      <c r="A13" s="115"/>
      <c r="B13" s="115"/>
      <c r="C13" s="61"/>
      <c r="D13" s="54" t="s">
        <v>24</v>
      </c>
      <c r="E13" s="54"/>
      <c r="F13" s="55">
        <v>75006</v>
      </c>
      <c r="G13" s="56">
        <f t="shared" si="0"/>
        <v>13.439695534615199</v>
      </c>
      <c r="H13" s="55">
        <v>73344</v>
      </c>
      <c r="I13" s="56">
        <f t="shared" si="1"/>
        <v>2.2660340314136107</v>
      </c>
    </row>
    <row r="14" spans="1:9" ht="18" customHeight="1">
      <c r="A14" s="115"/>
      <c r="B14" s="115"/>
      <c r="C14" s="54" t="s">
        <v>3</v>
      </c>
      <c r="D14" s="54"/>
      <c r="E14" s="54"/>
      <c r="F14" s="55">
        <v>2597</v>
      </c>
      <c r="G14" s="56">
        <f t="shared" si="0"/>
        <v>0.46533463060816027</v>
      </c>
      <c r="H14" s="55">
        <v>2736</v>
      </c>
      <c r="I14" s="56">
        <f t="shared" si="1"/>
        <v>-5.0804093567251467</v>
      </c>
    </row>
    <row r="15" spans="1:9" ht="18" customHeight="1">
      <c r="A15" s="115"/>
      <c r="B15" s="115"/>
      <c r="C15" s="54" t="s">
        <v>4</v>
      </c>
      <c r="D15" s="54"/>
      <c r="E15" s="54"/>
      <c r="F15" s="55">
        <v>28600</v>
      </c>
      <c r="G15" s="56">
        <f t="shared" si="0"/>
        <v>5.1245939296855543</v>
      </c>
      <c r="H15" s="55">
        <v>25000</v>
      </c>
      <c r="I15" s="56">
        <f t="shared" si="1"/>
        <v>14.399999999999991</v>
      </c>
    </row>
    <row r="16" spans="1:9" ht="18" customHeight="1">
      <c r="A16" s="115"/>
      <c r="B16" s="115"/>
      <c r="C16" s="54" t="s">
        <v>25</v>
      </c>
      <c r="D16" s="54"/>
      <c r="E16" s="54"/>
      <c r="F16" s="55">
        <f>5559+5455</f>
        <v>11014</v>
      </c>
      <c r="G16" s="56">
        <f t="shared" si="0"/>
        <v>1.9735062077467374</v>
      </c>
      <c r="H16" s="55">
        <v>10703</v>
      </c>
      <c r="I16" s="56">
        <f>(F16/H16-1)*100</f>
        <v>2.9057273661590166</v>
      </c>
    </row>
    <row r="17" spans="1:9" ht="18" customHeight="1">
      <c r="A17" s="115"/>
      <c r="B17" s="115"/>
      <c r="C17" s="54" t="s">
        <v>5</v>
      </c>
      <c r="D17" s="54"/>
      <c r="E17" s="54"/>
      <c r="F17" s="55">
        <v>120638</v>
      </c>
      <c r="G17" s="56">
        <f t="shared" si="0"/>
        <v>21.616110576552654</v>
      </c>
      <c r="H17" s="55">
        <v>102340</v>
      </c>
      <c r="I17" s="56">
        <f t="shared" si="1"/>
        <v>17.879616963064304</v>
      </c>
    </row>
    <row r="18" spans="1:9" ht="18" customHeight="1">
      <c r="A18" s="115"/>
      <c r="B18" s="115"/>
      <c r="C18" s="54" t="s">
        <v>26</v>
      </c>
      <c r="D18" s="54"/>
      <c r="E18" s="54"/>
      <c r="F18" s="55">
        <v>29312</v>
      </c>
      <c r="G18" s="56">
        <f t="shared" si="0"/>
        <v>5.2521712331098938</v>
      </c>
      <c r="H18" s="55">
        <v>25903</v>
      </c>
      <c r="I18" s="56">
        <f t="shared" si="1"/>
        <v>13.160637763965566</v>
      </c>
    </row>
    <row r="19" spans="1:9" ht="18" customHeight="1">
      <c r="A19" s="115"/>
      <c r="B19" s="115"/>
      <c r="C19" s="54" t="s">
        <v>27</v>
      </c>
      <c r="D19" s="54"/>
      <c r="E19" s="54"/>
      <c r="F19" s="55">
        <v>3148</v>
      </c>
      <c r="G19" s="56">
        <f t="shared" si="0"/>
        <v>0.56406369547727708</v>
      </c>
      <c r="H19" s="55">
        <v>4492</v>
      </c>
      <c r="I19" s="56">
        <f t="shared" si="1"/>
        <v>-29.919857524487981</v>
      </c>
    </row>
    <row r="20" spans="1:9" ht="18" customHeight="1">
      <c r="A20" s="115"/>
      <c r="B20" s="115"/>
      <c r="C20" s="54" t="s">
        <v>6</v>
      </c>
      <c r="D20" s="54"/>
      <c r="E20" s="54"/>
      <c r="F20" s="55">
        <v>59721</v>
      </c>
      <c r="G20" s="56">
        <f t="shared" si="0"/>
        <v>10.700904687928356</v>
      </c>
      <c r="H20" s="55">
        <v>55269</v>
      </c>
      <c r="I20" s="56">
        <f t="shared" si="1"/>
        <v>8.055148455734674</v>
      </c>
    </row>
    <row r="21" spans="1:9" ht="18" customHeight="1">
      <c r="A21" s="115"/>
      <c r="B21" s="115"/>
      <c r="C21" s="54" t="s">
        <v>7</v>
      </c>
      <c r="D21" s="54"/>
      <c r="E21" s="54"/>
      <c r="F21" s="55">
        <v>81863</v>
      </c>
      <c r="G21" s="56">
        <f t="shared" si="0"/>
        <v>14.6683438064982</v>
      </c>
      <c r="H21" s="55">
        <v>83200</v>
      </c>
      <c r="I21" s="56">
        <f t="shared" si="1"/>
        <v>-1.6069711538461484</v>
      </c>
    </row>
    <row r="22" spans="1:9" ht="18" customHeight="1">
      <c r="A22" s="115"/>
      <c r="B22" s="115"/>
      <c r="C22" s="54" t="s">
        <v>8</v>
      </c>
      <c r="D22" s="54"/>
      <c r="E22" s="54"/>
      <c r="F22" s="55">
        <f>SUM(F9,F14:F21)</f>
        <v>558093</v>
      </c>
      <c r="G22" s="56">
        <f t="shared" si="0"/>
        <v>100</v>
      </c>
      <c r="H22" s="55">
        <f>SUM(H9,H14:H21)</f>
        <v>515043</v>
      </c>
      <c r="I22" s="56">
        <f t="shared" ref="I22:I40" si="2">(F22/H22-1)*100</f>
        <v>8.3585254046749426</v>
      </c>
    </row>
    <row r="23" spans="1:9" ht="18" customHeight="1">
      <c r="A23" s="115"/>
      <c r="B23" s="115" t="s">
        <v>81</v>
      </c>
      <c r="C23" s="63" t="s">
        <v>9</v>
      </c>
      <c r="D23" s="29"/>
      <c r="E23" s="29"/>
      <c r="F23" s="55">
        <f>SUM(F24:F26)</f>
        <v>306898</v>
      </c>
      <c r="G23" s="56">
        <f t="shared" ref="G23:G37" si="3">F23/$F$40*100</f>
        <v>54.990476497644657</v>
      </c>
      <c r="H23" s="55">
        <f>SUM(H24:H26)</f>
        <v>289892</v>
      </c>
      <c r="I23" s="56">
        <f t="shared" si="2"/>
        <v>5.8663226304968674</v>
      </c>
    </row>
    <row r="24" spans="1:9" ht="18" customHeight="1">
      <c r="A24" s="115"/>
      <c r="B24" s="115"/>
      <c r="C24" s="62"/>
      <c r="D24" s="29" t="s">
        <v>10</v>
      </c>
      <c r="E24" s="29"/>
      <c r="F24" s="55">
        <v>106006</v>
      </c>
      <c r="G24" s="56">
        <f t="shared" si="3"/>
        <v>18.994325318540099</v>
      </c>
      <c r="H24" s="55">
        <v>104630</v>
      </c>
      <c r="I24" s="56">
        <f t="shared" si="2"/>
        <v>1.3151103889897708</v>
      </c>
    </row>
    <row r="25" spans="1:9" ht="18" customHeight="1">
      <c r="A25" s="115"/>
      <c r="B25" s="115"/>
      <c r="C25" s="62"/>
      <c r="D25" s="29" t="s">
        <v>28</v>
      </c>
      <c r="E25" s="29"/>
      <c r="F25" s="55">
        <v>145906</v>
      </c>
      <c r="G25" s="56">
        <f t="shared" si="3"/>
        <v>26.143671395269248</v>
      </c>
      <c r="H25" s="55">
        <v>130972</v>
      </c>
      <c r="I25" s="56">
        <f t="shared" si="2"/>
        <v>11.402437162141531</v>
      </c>
    </row>
    <row r="26" spans="1:9" ht="18" customHeight="1">
      <c r="A26" s="115"/>
      <c r="B26" s="115"/>
      <c r="C26" s="61"/>
      <c r="D26" s="29" t="s">
        <v>11</v>
      </c>
      <c r="E26" s="29"/>
      <c r="F26" s="55">
        <v>54986</v>
      </c>
      <c r="G26" s="56">
        <f t="shared" si="3"/>
        <v>9.8524797838353102</v>
      </c>
      <c r="H26" s="55">
        <v>54290</v>
      </c>
      <c r="I26" s="56">
        <f t="shared" si="2"/>
        <v>1.2820040523116694</v>
      </c>
    </row>
    <row r="27" spans="1:9" ht="18" customHeight="1">
      <c r="A27" s="115"/>
      <c r="B27" s="115"/>
      <c r="C27" s="63" t="s">
        <v>12</v>
      </c>
      <c r="D27" s="29"/>
      <c r="E27" s="29"/>
      <c r="F27" s="55">
        <f>SUM(F28:F33)+302</f>
        <v>167470</v>
      </c>
      <c r="G27" s="56">
        <f t="shared" si="3"/>
        <v>30.007543545609781</v>
      </c>
      <c r="H27" s="55">
        <f>SUM(H28:H33)+502</f>
        <v>158962</v>
      </c>
      <c r="I27" s="56">
        <f t="shared" si="2"/>
        <v>5.352222543752605</v>
      </c>
    </row>
    <row r="28" spans="1:9" ht="18" customHeight="1">
      <c r="A28" s="115"/>
      <c r="B28" s="115"/>
      <c r="C28" s="62"/>
      <c r="D28" s="29" t="s">
        <v>13</v>
      </c>
      <c r="E28" s="29"/>
      <c r="F28" s="55">
        <v>75649</v>
      </c>
      <c r="G28" s="56">
        <f t="shared" si="3"/>
        <v>13.554909307230156</v>
      </c>
      <c r="H28" s="55">
        <v>70529</v>
      </c>
      <c r="I28" s="56">
        <f t="shared" si="2"/>
        <v>7.2594252009811511</v>
      </c>
    </row>
    <row r="29" spans="1:9" ht="18" customHeight="1">
      <c r="A29" s="115"/>
      <c r="B29" s="115"/>
      <c r="C29" s="62"/>
      <c r="D29" s="29" t="s">
        <v>29</v>
      </c>
      <c r="E29" s="29"/>
      <c r="F29" s="55">
        <v>7446</v>
      </c>
      <c r="G29" s="56">
        <f t="shared" si="3"/>
        <v>1.3341862377775748</v>
      </c>
      <c r="H29" s="55">
        <v>8723</v>
      </c>
      <c r="I29" s="56">
        <f t="shared" si="2"/>
        <v>-14.639458901753988</v>
      </c>
    </row>
    <row r="30" spans="1:9" ht="18" customHeight="1">
      <c r="A30" s="115"/>
      <c r="B30" s="115"/>
      <c r="C30" s="62"/>
      <c r="D30" s="29" t="s">
        <v>30</v>
      </c>
      <c r="E30" s="29"/>
      <c r="F30" s="55">
        <v>33188</v>
      </c>
      <c r="G30" s="56">
        <f t="shared" si="3"/>
        <v>5.9466791377064396</v>
      </c>
      <c r="H30" s="55">
        <v>32028</v>
      </c>
      <c r="I30" s="56">
        <f t="shared" si="2"/>
        <v>3.6218308979642844</v>
      </c>
    </row>
    <row r="31" spans="1:9" ht="18" customHeight="1">
      <c r="A31" s="115"/>
      <c r="B31" s="115"/>
      <c r="C31" s="62"/>
      <c r="D31" s="29" t="s">
        <v>31</v>
      </c>
      <c r="E31" s="29"/>
      <c r="F31" s="55">
        <v>33083</v>
      </c>
      <c r="G31" s="56">
        <f t="shared" si="3"/>
        <v>5.9278650690834684</v>
      </c>
      <c r="H31" s="55">
        <v>31941</v>
      </c>
      <c r="I31" s="56">
        <f t="shared" si="2"/>
        <v>3.5753420368805022</v>
      </c>
    </row>
    <row r="32" spans="1:9" ht="18" customHeight="1">
      <c r="A32" s="115"/>
      <c r="B32" s="115"/>
      <c r="C32" s="62"/>
      <c r="D32" s="29" t="s">
        <v>14</v>
      </c>
      <c r="E32" s="29"/>
      <c r="F32" s="55">
        <v>4222</v>
      </c>
      <c r="G32" s="56">
        <f t="shared" si="3"/>
        <v>0.75650474024938497</v>
      </c>
      <c r="H32" s="55">
        <v>2422</v>
      </c>
      <c r="I32" s="56">
        <f t="shared" si="2"/>
        <v>74.318744838976045</v>
      </c>
    </row>
    <row r="33" spans="1:9" ht="18" customHeight="1">
      <c r="A33" s="115"/>
      <c r="B33" s="115"/>
      <c r="C33" s="61"/>
      <c r="D33" s="29" t="s">
        <v>32</v>
      </c>
      <c r="E33" s="29"/>
      <c r="F33" s="55">
        <f>3902+9678</f>
        <v>13580</v>
      </c>
      <c r="G33" s="56">
        <f t="shared" si="3"/>
        <v>2.4332862085709728</v>
      </c>
      <c r="H33" s="55">
        <v>12817</v>
      </c>
      <c r="I33" s="56">
        <f t="shared" si="2"/>
        <v>5.9530311305297623</v>
      </c>
    </row>
    <row r="34" spans="1:9" ht="18" customHeight="1">
      <c r="A34" s="115"/>
      <c r="B34" s="115"/>
      <c r="C34" s="63" t="s">
        <v>15</v>
      </c>
      <c r="D34" s="29"/>
      <c r="E34" s="29"/>
      <c r="F34" s="55">
        <v>83725</v>
      </c>
      <c r="G34" s="56">
        <f t="shared" si="3"/>
        <v>15.00197995674556</v>
      </c>
      <c r="H34" s="55">
        <f>H35+H38+H39</f>
        <v>66189</v>
      </c>
      <c r="I34" s="56">
        <f t="shared" si="2"/>
        <v>26.4938282796235</v>
      </c>
    </row>
    <row r="35" spans="1:9" ht="18" customHeight="1">
      <c r="A35" s="115"/>
      <c r="B35" s="115"/>
      <c r="C35" s="62"/>
      <c r="D35" s="63" t="s">
        <v>16</v>
      </c>
      <c r="E35" s="29"/>
      <c r="F35" s="55">
        <f>SUM(F36:F37)</f>
        <v>83725</v>
      </c>
      <c r="G35" s="56">
        <f t="shared" si="3"/>
        <v>15.00197995674556</v>
      </c>
      <c r="H35" s="55">
        <v>66189</v>
      </c>
      <c r="I35" s="56">
        <f t="shared" si="2"/>
        <v>26.4938282796235</v>
      </c>
    </row>
    <row r="36" spans="1:9" ht="18" customHeight="1">
      <c r="A36" s="115"/>
      <c r="B36" s="115"/>
      <c r="C36" s="62"/>
      <c r="D36" s="62"/>
      <c r="E36" s="57" t="s">
        <v>102</v>
      </c>
      <c r="F36" s="55">
        <v>46553</v>
      </c>
      <c r="G36" s="56">
        <f t="shared" si="3"/>
        <v>8.3414413010018045</v>
      </c>
      <c r="H36" s="55">
        <v>28993</v>
      </c>
      <c r="I36" s="56">
        <f>(F36/H36-1)*100</f>
        <v>60.566343600179366</v>
      </c>
    </row>
    <row r="37" spans="1:9" ht="18" customHeight="1">
      <c r="A37" s="115"/>
      <c r="B37" s="115"/>
      <c r="C37" s="62"/>
      <c r="D37" s="61"/>
      <c r="E37" s="29" t="s">
        <v>33</v>
      </c>
      <c r="F37" s="55">
        <v>37172</v>
      </c>
      <c r="G37" s="56">
        <f t="shared" si="3"/>
        <v>6.660538655743756</v>
      </c>
      <c r="H37" s="55">
        <v>37196</v>
      </c>
      <c r="I37" s="56">
        <f t="shared" si="2"/>
        <v>-6.4523066996446943E-2</v>
      </c>
    </row>
    <row r="38" spans="1:9" ht="18" customHeight="1">
      <c r="A38" s="115"/>
      <c r="B38" s="115"/>
      <c r="C38" s="62"/>
      <c r="D38" s="54" t="s">
        <v>34</v>
      </c>
      <c r="E38" s="54"/>
      <c r="F38" s="55">
        <v>0</v>
      </c>
      <c r="G38" s="56">
        <f>F38/$F$40*100</f>
        <v>0</v>
      </c>
      <c r="H38" s="55">
        <v>0</v>
      </c>
      <c r="I38" s="56" t="e">
        <f t="shared" si="2"/>
        <v>#DIV/0!</v>
      </c>
    </row>
    <row r="39" spans="1:9" ht="18" customHeight="1">
      <c r="A39" s="115"/>
      <c r="B39" s="115"/>
      <c r="C39" s="61"/>
      <c r="D39" s="54" t="s">
        <v>35</v>
      </c>
      <c r="E39" s="54"/>
      <c r="F39" s="55">
        <v>0</v>
      </c>
      <c r="G39" s="56">
        <f>F39/$F$40*100</f>
        <v>0</v>
      </c>
      <c r="H39" s="55">
        <v>0</v>
      </c>
      <c r="I39" s="56" t="e">
        <f t="shared" si="2"/>
        <v>#DIV/0!</v>
      </c>
    </row>
    <row r="40" spans="1:9" ht="18" customHeight="1">
      <c r="A40" s="115"/>
      <c r="B40" s="115"/>
      <c r="C40" s="29" t="s">
        <v>17</v>
      </c>
      <c r="D40" s="29"/>
      <c r="E40" s="29"/>
      <c r="F40" s="55">
        <f>SUM(F23,F27,F34)</f>
        <v>558093</v>
      </c>
      <c r="G40" s="56">
        <f>F40/$F$40*100</f>
        <v>100</v>
      </c>
      <c r="H40" s="55">
        <f>SUM(H23,H27,H34)</f>
        <v>515043</v>
      </c>
      <c r="I40" s="56">
        <f t="shared" si="2"/>
        <v>8.3585254046749426</v>
      </c>
    </row>
    <row r="41" spans="1:9" ht="18" customHeight="1">
      <c r="A41" s="25" t="s">
        <v>18</v>
      </c>
      <c r="B41" s="25"/>
    </row>
    <row r="42" spans="1:9" ht="18" customHeight="1">
      <c r="A42" s="26" t="s">
        <v>19</v>
      </c>
      <c r="B42" s="25"/>
    </row>
  </sheetData>
  <mergeCells count="5">
    <mergeCell ref="A1:D1"/>
    <mergeCell ref="A9:A40"/>
    <mergeCell ref="B9:B22"/>
    <mergeCell ref="B23:B40"/>
    <mergeCell ref="G6:I6"/>
  </mergeCells>
  <phoneticPr fontId="7"/>
  <printOptions horizontalCentered="1" verticalCentered="1" gridLinesSet="0"/>
  <pageMargins left="0" right="0" top="0.43307086614173229" bottom="0.19685039370078741" header="0.19685039370078741" footer="0.31496062992125984"/>
  <pageSetup paperSize="9" scale="97" orientation="portrait" useFirstPageNumber="1" r:id="rId1"/>
  <headerFooter alignWithMargins="0">
    <oddHeader>&amp;R&amp;"明朝,斜体"&amp;9指定都市－1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0"/>
  <sheetViews>
    <sheetView view="pageBreakPreview" zoomScale="94" zoomScaleNormal="100" zoomScaleSheetLayoutView="94" workbookViewId="0">
      <pane xSplit="5" ySplit="7" topLeftCell="F15" activePane="bottomRight" state="frozen"/>
      <selection activeCell="I16" sqref="I16"/>
      <selection pane="topRight" activeCell="I16" sqref="I16"/>
      <selection pane="bottomLeft" activeCell="I16" sqref="I16"/>
      <selection pane="bottomRight" activeCell="I25" sqref="I25:I26"/>
    </sheetView>
  </sheetViews>
  <sheetFormatPr defaultColWidth="9" defaultRowHeight="13"/>
  <cols>
    <col min="1" max="1" width="3.6328125" style="1" customWidth="1"/>
    <col min="2" max="3" width="1.6328125" style="1" customWidth="1"/>
    <col min="4" max="4" width="22.6328125" style="1" customWidth="1"/>
    <col min="5" max="5" width="10.6328125" style="1" customWidth="1"/>
    <col min="6" max="21" width="13.6328125" style="1" customWidth="1"/>
    <col min="22" max="25" width="12" style="1" customWidth="1"/>
    <col min="26" max="16384" width="9" style="1"/>
  </cols>
  <sheetData>
    <row r="1" spans="1:25" ht="34" customHeight="1">
      <c r="A1" s="17" t="s">
        <v>0</v>
      </c>
      <c r="B1" s="13"/>
      <c r="C1" s="13"/>
      <c r="D1" s="20" t="s">
        <v>244</v>
      </c>
      <c r="E1" s="14"/>
      <c r="F1" s="14"/>
      <c r="G1" s="14"/>
    </row>
    <row r="2" spans="1:25" ht="15" customHeight="1"/>
    <row r="3" spans="1:25" ht="15" customHeight="1">
      <c r="A3" s="15" t="s">
        <v>42</v>
      </c>
      <c r="B3" s="15"/>
      <c r="C3" s="15"/>
      <c r="D3" s="15"/>
    </row>
    <row r="4" spans="1:25" ht="15" customHeight="1">
      <c r="A4" s="15"/>
      <c r="B4" s="15"/>
      <c r="C4" s="15"/>
      <c r="D4" s="15"/>
    </row>
    <row r="5" spans="1:25" ht="16" customHeight="1">
      <c r="A5" s="12" t="s">
        <v>235</v>
      </c>
      <c r="B5" s="12"/>
      <c r="C5" s="12"/>
      <c r="D5" s="12"/>
      <c r="K5" s="16"/>
      <c r="O5" s="16" t="s">
        <v>43</v>
      </c>
    </row>
    <row r="6" spans="1:25" ht="16" customHeight="1">
      <c r="A6" s="123" t="s">
        <v>44</v>
      </c>
      <c r="B6" s="122"/>
      <c r="C6" s="122"/>
      <c r="D6" s="122"/>
      <c r="E6" s="122"/>
      <c r="F6" s="130" t="s">
        <v>245</v>
      </c>
      <c r="G6" s="130"/>
      <c r="H6" s="130" t="s">
        <v>246</v>
      </c>
      <c r="I6" s="130"/>
      <c r="J6" s="130" t="s">
        <v>247</v>
      </c>
      <c r="K6" s="130"/>
      <c r="L6" s="130" t="s">
        <v>248</v>
      </c>
      <c r="M6" s="130"/>
      <c r="N6" s="130"/>
      <c r="O6" s="130"/>
    </row>
    <row r="7" spans="1:25" ht="16" customHeight="1">
      <c r="A7" s="122"/>
      <c r="B7" s="122"/>
      <c r="C7" s="122"/>
      <c r="D7" s="122"/>
      <c r="E7" s="122"/>
      <c r="F7" s="52" t="s">
        <v>236</v>
      </c>
      <c r="G7" s="52" t="s">
        <v>231</v>
      </c>
      <c r="H7" s="52" t="s">
        <v>236</v>
      </c>
      <c r="I7" s="52" t="s">
        <v>231</v>
      </c>
      <c r="J7" s="52" t="s">
        <v>236</v>
      </c>
      <c r="K7" s="52" t="s">
        <v>231</v>
      </c>
      <c r="L7" s="52" t="s">
        <v>236</v>
      </c>
      <c r="M7" s="52" t="s">
        <v>231</v>
      </c>
      <c r="N7" s="52" t="s">
        <v>236</v>
      </c>
      <c r="O7" s="52" t="s">
        <v>231</v>
      </c>
    </row>
    <row r="8" spans="1:25" ht="16" customHeight="1">
      <c r="A8" s="120" t="s">
        <v>83</v>
      </c>
      <c r="B8" s="60" t="s">
        <v>45</v>
      </c>
      <c r="C8" s="54"/>
      <c r="D8" s="54"/>
      <c r="E8" s="64" t="s">
        <v>36</v>
      </c>
      <c r="F8" s="85">
        <v>2185</v>
      </c>
      <c r="G8" s="89">
        <f>2224527/1000</f>
        <v>2224.527</v>
      </c>
      <c r="H8" s="110">
        <f>25711983/1000</f>
        <v>25711.983</v>
      </c>
      <c r="I8" s="90">
        <f>ROUND(24114537/1000,0)</f>
        <v>24115</v>
      </c>
      <c r="J8" s="85">
        <v>31421</v>
      </c>
      <c r="K8" s="65">
        <v>31085</v>
      </c>
      <c r="L8" s="85">
        <v>548</v>
      </c>
      <c r="M8" s="65">
        <v>646</v>
      </c>
      <c r="N8" s="65"/>
      <c r="O8" s="65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ht="16" customHeight="1">
      <c r="A9" s="120"/>
      <c r="B9" s="62"/>
      <c r="C9" s="54" t="s">
        <v>46</v>
      </c>
      <c r="D9" s="54"/>
      <c r="E9" s="64" t="s">
        <v>37</v>
      </c>
      <c r="F9" s="85">
        <v>2185</v>
      </c>
      <c r="G9" s="89">
        <f>2198692/1000</f>
        <v>2198.692</v>
      </c>
      <c r="H9" s="110">
        <f>25666703/1000</f>
        <v>25666.703000000001</v>
      </c>
      <c r="I9" s="90">
        <f>ROUND((18644646+5455993)/1000,0)</f>
        <v>24101</v>
      </c>
      <c r="J9" s="85">
        <v>31340</v>
      </c>
      <c r="K9" s="65">
        <v>30980</v>
      </c>
      <c r="L9" s="85">
        <v>548</v>
      </c>
      <c r="M9" s="65">
        <v>646</v>
      </c>
      <c r="N9" s="65"/>
      <c r="O9" s="65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pans="1:25" ht="16" customHeight="1">
      <c r="A10" s="120"/>
      <c r="B10" s="61"/>
      <c r="C10" s="54" t="s">
        <v>47</v>
      </c>
      <c r="D10" s="54"/>
      <c r="E10" s="64" t="s">
        <v>38</v>
      </c>
      <c r="F10" s="85">
        <v>0</v>
      </c>
      <c r="G10" s="89">
        <v>25.835000000000001</v>
      </c>
      <c r="H10" s="110">
        <f>45280/1000</f>
        <v>45.28</v>
      </c>
      <c r="I10" s="90">
        <f>ROUND(13898/1000,0)</f>
        <v>14</v>
      </c>
      <c r="J10" s="66">
        <v>81</v>
      </c>
      <c r="K10" s="66">
        <v>105</v>
      </c>
      <c r="L10" s="85">
        <v>0</v>
      </c>
      <c r="M10" s="65">
        <v>0</v>
      </c>
      <c r="N10" s="65"/>
      <c r="O10" s="65"/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spans="1:25" ht="16" customHeight="1">
      <c r="A11" s="120"/>
      <c r="B11" s="60" t="s">
        <v>48</v>
      </c>
      <c r="C11" s="54"/>
      <c r="D11" s="54"/>
      <c r="E11" s="64" t="s">
        <v>39</v>
      </c>
      <c r="F11" s="85">
        <v>2123</v>
      </c>
      <c r="G11" s="89">
        <f>2160518/1000</f>
        <v>2160.518</v>
      </c>
      <c r="H11" s="110">
        <f>27326838/1000</f>
        <v>27326.838</v>
      </c>
      <c r="I11" s="90">
        <f>ROUND(26165783/1000,0)</f>
        <v>26166</v>
      </c>
      <c r="J11" s="85">
        <v>30514</v>
      </c>
      <c r="K11" s="65">
        <v>29547</v>
      </c>
      <c r="L11" s="85">
        <v>555</v>
      </c>
      <c r="M11" s="65">
        <v>643</v>
      </c>
      <c r="N11" s="65"/>
      <c r="O11" s="65"/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spans="1:25" ht="16" customHeight="1">
      <c r="A12" s="120"/>
      <c r="B12" s="62"/>
      <c r="C12" s="54" t="s">
        <v>49</v>
      </c>
      <c r="D12" s="54"/>
      <c r="E12" s="64" t="s">
        <v>40</v>
      </c>
      <c r="F12" s="85">
        <v>2121</v>
      </c>
      <c r="G12" s="89">
        <f>2159058/1000</f>
        <v>2159.058</v>
      </c>
      <c r="H12" s="111">
        <f>(27147022)/1000</f>
        <v>27147.022000000001</v>
      </c>
      <c r="I12" s="113">
        <f>ROUND((25732150+299986)/1000,0)</f>
        <v>26032</v>
      </c>
      <c r="J12" s="85">
        <v>30503</v>
      </c>
      <c r="K12" s="65">
        <v>29536</v>
      </c>
      <c r="L12" s="85">
        <v>555</v>
      </c>
      <c r="M12" s="65">
        <v>621</v>
      </c>
      <c r="N12" s="65"/>
      <c r="O12" s="65"/>
      <c r="P12" s="18"/>
      <c r="Q12" s="18"/>
      <c r="R12" s="18"/>
      <c r="S12" s="18"/>
      <c r="T12" s="18"/>
      <c r="U12" s="18"/>
      <c r="V12" s="18"/>
      <c r="W12" s="18"/>
      <c r="X12" s="18"/>
      <c r="Y12" s="18"/>
    </row>
    <row r="13" spans="1:25" ht="16" customHeight="1">
      <c r="A13" s="120"/>
      <c r="B13" s="61"/>
      <c r="C13" s="54" t="s">
        <v>50</v>
      </c>
      <c r="D13" s="54"/>
      <c r="E13" s="64" t="s">
        <v>41</v>
      </c>
      <c r="F13" s="85">
        <v>1</v>
      </c>
      <c r="G13" s="89">
        <v>0.46</v>
      </c>
      <c r="H13" s="66">
        <f>177816/1000</f>
        <v>177.816</v>
      </c>
      <c r="I13" s="91">
        <f>ROUND(131647/1000,0)</f>
        <v>132</v>
      </c>
      <c r="J13" s="66">
        <v>11</v>
      </c>
      <c r="K13" s="66">
        <v>11</v>
      </c>
      <c r="L13" s="85">
        <v>0</v>
      </c>
      <c r="M13" s="65">
        <v>22</v>
      </c>
      <c r="N13" s="65"/>
      <c r="O13" s="65"/>
      <c r="P13" s="18"/>
      <c r="Q13" s="18"/>
      <c r="R13" s="18"/>
      <c r="S13" s="18"/>
      <c r="T13" s="18"/>
      <c r="U13" s="18"/>
      <c r="V13" s="18"/>
      <c r="W13" s="18"/>
      <c r="X13" s="18"/>
      <c r="Y13" s="18"/>
    </row>
    <row r="14" spans="1:25" ht="16" customHeight="1">
      <c r="A14" s="120"/>
      <c r="B14" s="54" t="s">
        <v>51</v>
      </c>
      <c r="C14" s="54"/>
      <c r="D14" s="54"/>
      <c r="E14" s="64" t="s">
        <v>87</v>
      </c>
      <c r="F14" s="85">
        <f>F9-F12</f>
        <v>64</v>
      </c>
      <c r="G14" s="65">
        <f t="shared" ref="G14:M15" si="0">G9-G12</f>
        <v>39.634000000000015</v>
      </c>
      <c r="H14" s="111">
        <f>H9-H12</f>
        <v>-1480.3189999999995</v>
      </c>
      <c r="I14" s="113">
        <f>I9-I12</f>
        <v>-1931</v>
      </c>
      <c r="J14" s="85">
        <f t="shared" si="0"/>
        <v>837</v>
      </c>
      <c r="K14" s="65">
        <f t="shared" si="0"/>
        <v>1444</v>
      </c>
      <c r="L14" s="85">
        <f t="shared" si="0"/>
        <v>-7</v>
      </c>
      <c r="M14" s="65">
        <f t="shared" si="0"/>
        <v>25</v>
      </c>
      <c r="N14" s="65">
        <f t="shared" ref="N14:O14" si="1">N9-N12</f>
        <v>0</v>
      </c>
      <c r="O14" s="65">
        <f t="shared" si="1"/>
        <v>0</v>
      </c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spans="1:25" ht="16" customHeight="1">
      <c r="A15" s="120"/>
      <c r="B15" s="54" t="s">
        <v>52</v>
      </c>
      <c r="C15" s="54"/>
      <c r="D15" s="54"/>
      <c r="E15" s="64" t="s">
        <v>88</v>
      </c>
      <c r="F15" s="85">
        <f>F10-F13</f>
        <v>-1</v>
      </c>
      <c r="G15" s="65">
        <f t="shared" si="0"/>
        <v>25.375</v>
      </c>
      <c r="H15" s="85">
        <f>H10-H13</f>
        <v>-132.536</v>
      </c>
      <c r="I15" s="90">
        <f>I10-I13</f>
        <v>-118</v>
      </c>
      <c r="J15" s="85">
        <f t="shared" si="0"/>
        <v>70</v>
      </c>
      <c r="K15" s="65">
        <f t="shared" si="0"/>
        <v>94</v>
      </c>
      <c r="L15" s="85">
        <f t="shared" si="0"/>
        <v>0</v>
      </c>
      <c r="M15" s="65">
        <f t="shared" si="0"/>
        <v>-22</v>
      </c>
      <c r="N15" s="65">
        <f t="shared" ref="N15:O15" si="2">N10-N13</f>
        <v>0</v>
      </c>
      <c r="O15" s="65">
        <f t="shared" si="2"/>
        <v>0</v>
      </c>
      <c r="P15" s="18"/>
      <c r="Q15" s="18"/>
      <c r="R15" s="18"/>
      <c r="S15" s="18"/>
      <c r="T15" s="18"/>
      <c r="U15" s="18"/>
      <c r="V15" s="18"/>
      <c r="W15" s="18"/>
      <c r="X15" s="18"/>
      <c r="Y15" s="18"/>
    </row>
    <row r="16" spans="1:25" ht="16" customHeight="1">
      <c r="A16" s="120"/>
      <c r="B16" s="54" t="s">
        <v>53</v>
      </c>
      <c r="C16" s="54"/>
      <c r="D16" s="54"/>
      <c r="E16" s="64" t="s">
        <v>89</v>
      </c>
      <c r="F16" s="85">
        <f>F8-F11</f>
        <v>62</v>
      </c>
      <c r="G16" s="65">
        <f t="shared" ref="G16:M16" si="3">G8-G11</f>
        <v>64.009000000000015</v>
      </c>
      <c r="H16" s="85">
        <f>H8-H11</f>
        <v>-1614.8549999999996</v>
      </c>
      <c r="I16" s="90">
        <f>I8-I11</f>
        <v>-2051</v>
      </c>
      <c r="J16" s="85">
        <f t="shared" si="3"/>
        <v>907</v>
      </c>
      <c r="K16" s="65">
        <f t="shared" si="3"/>
        <v>1538</v>
      </c>
      <c r="L16" s="85">
        <f t="shared" si="3"/>
        <v>-7</v>
      </c>
      <c r="M16" s="65">
        <f t="shared" si="3"/>
        <v>3</v>
      </c>
      <c r="N16" s="65">
        <f t="shared" ref="N16:O16" si="4">N8-N11</f>
        <v>0</v>
      </c>
      <c r="O16" s="65">
        <f t="shared" si="4"/>
        <v>0</v>
      </c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spans="1:25" ht="16" customHeight="1">
      <c r="A17" s="120"/>
      <c r="B17" s="54" t="s">
        <v>54</v>
      </c>
      <c r="C17" s="54"/>
      <c r="D17" s="54"/>
      <c r="E17" s="52"/>
      <c r="F17" s="85">
        <v>0</v>
      </c>
      <c r="G17" s="92" t="s">
        <v>249</v>
      </c>
      <c r="H17" s="66">
        <f>7485820/1000</f>
        <v>7485.82</v>
      </c>
      <c r="I17" s="91">
        <v>7220</v>
      </c>
      <c r="J17" s="85">
        <v>0</v>
      </c>
      <c r="K17" s="65">
        <v>0</v>
      </c>
      <c r="L17" s="85">
        <v>0</v>
      </c>
      <c r="M17" s="65">
        <v>0</v>
      </c>
      <c r="N17" s="66"/>
      <c r="O17" s="67"/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 spans="1:25" ht="16" customHeight="1">
      <c r="A18" s="120"/>
      <c r="B18" s="54" t="s">
        <v>55</v>
      </c>
      <c r="C18" s="54"/>
      <c r="D18" s="54"/>
      <c r="E18" s="52"/>
      <c r="F18" s="93">
        <v>0</v>
      </c>
      <c r="G18" s="94" t="s">
        <v>249</v>
      </c>
      <c r="H18" s="112" t="s">
        <v>268</v>
      </c>
      <c r="I18" s="95">
        <v>0</v>
      </c>
      <c r="J18" s="93">
        <v>0</v>
      </c>
      <c r="K18" s="67">
        <v>0</v>
      </c>
      <c r="L18" s="93">
        <v>0</v>
      </c>
      <c r="M18" s="67">
        <v>0</v>
      </c>
      <c r="N18" s="67"/>
      <c r="O18" s="67"/>
      <c r="P18" s="18"/>
      <c r="Q18" s="18"/>
      <c r="R18" s="18"/>
      <c r="S18" s="18"/>
      <c r="T18" s="18"/>
      <c r="U18" s="18"/>
      <c r="V18" s="18"/>
      <c r="W18" s="18"/>
      <c r="X18" s="18"/>
      <c r="Y18" s="18"/>
    </row>
    <row r="19" spans="1:25" ht="16" customHeight="1">
      <c r="A19" s="120" t="s">
        <v>84</v>
      </c>
      <c r="B19" s="60" t="s">
        <v>56</v>
      </c>
      <c r="C19" s="54"/>
      <c r="D19" s="54"/>
      <c r="E19" s="64"/>
      <c r="F19" s="85">
        <v>1194</v>
      </c>
      <c r="G19" s="89">
        <f>1215445/1000</f>
        <v>1215.4449999999999</v>
      </c>
      <c r="H19" s="110">
        <f>25809247/1000</f>
        <v>25809.246999999999</v>
      </c>
      <c r="I19" s="90">
        <f>ROUND(12552725/1000,0)</f>
        <v>12553</v>
      </c>
      <c r="J19" s="85">
        <v>14080</v>
      </c>
      <c r="K19" s="65">
        <v>17497</v>
      </c>
      <c r="L19" s="85">
        <v>519</v>
      </c>
      <c r="M19" s="65">
        <v>713</v>
      </c>
      <c r="N19" s="65"/>
      <c r="O19" s="65"/>
      <c r="P19" s="18"/>
      <c r="Q19" s="18"/>
      <c r="R19" s="18"/>
      <c r="S19" s="18"/>
      <c r="T19" s="18"/>
      <c r="U19" s="18"/>
      <c r="V19" s="18"/>
      <c r="W19" s="18"/>
      <c r="X19" s="18"/>
      <c r="Y19" s="18"/>
    </row>
    <row r="20" spans="1:25" ht="16" customHeight="1">
      <c r="A20" s="120"/>
      <c r="B20" s="61"/>
      <c r="C20" s="54" t="s">
        <v>57</v>
      </c>
      <c r="D20" s="54"/>
      <c r="E20" s="64"/>
      <c r="F20" s="85">
        <v>348</v>
      </c>
      <c r="G20" s="89">
        <f>419000/1000</f>
        <v>419</v>
      </c>
      <c r="H20" s="110">
        <f>22300000/1000</f>
        <v>22300</v>
      </c>
      <c r="I20" s="90">
        <f>ROUND(8922000/1000,0)</f>
        <v>8922</v>
      </c>
      <c r="J20" s="85">
        <v>10332</v>
      </c>
      <c r="K20" s="65">
        <v>12962</v>
      </c>
      <c r="L20" s="85">
        <v>175</v>
      </c>
      <c r="M20" s="65">
        <v>324</v>
      </c>
      <c r="N20" s="65"/>
      <c r="O20" s="65"/>
      <c r="P20" s="18"/>
      <c r="Q20" s="18"/>
      <c r="R20" s="18"/>
      <c r="S20" s="18"/>
      <c r="T20" s="18"/>
      <c r="U20" s="18"/>
      <c r="V20" s="18"/>
      <c r="W20" s="18"/>
      <c r="X20" s="18"/>
      <c r="Y20" s="18"/>
    </row>
    <row r="21" spans="1:25" ht="16" customHeight="1">
      <c r="A21" s="120"/>
      <c r="B21" s="54" t="s">
        <v>58</v>
      </c>
      <c r="C21" s="54"/>
      <c r="D21" s="54"/>
      <c r="E21" s="64" t="s">
        <v>90</v>
      </c>
      <c r="F21" s="85">
        <v>1194</v>
      </c>
      <c r="G21" s="89">
        <f>1215445/1000</f>
        <v>1215.4449999999999</v>
      </c>
      <c r="H21" s="85">
        <f>+H19</f>
        <v>25809.246999999999</v>
      </c>
      <c r="I21" s="90">
        <f>I19</f>
        <v>12553</v>
      </c>
      <c r="J21" s="85">
        <v>14080</v>
      </c>
      <c r="K21" s="65">
        <v>17497</v>
      </c>
      <c r="L21" s="85">
        <v>519</v>
      </c>
      <c r="M21" s="65">
        <v>713</v>
      </c>
      <c r="N21" s="65"/>
      <c r="O21" s="65"/>
      <c r="P21" s="18"/>
      <c r="Q21" s="18"/>
      <c r="R21" s="18"/>
      <c r="S21" s="18"/>
      <c r="T21" s="18"/>
      <c r="U21" s="18"/>
      <c r="V21" s="18"/>
      <c r="W21" s="18"/>
      <c r="X21" s="18"/>
      <c r="Y21" s="18"/>
    </row>
    <row r="22" spans="1:25" ht="16" customHeight="1">
      <c r="A22" s="120"/>
      <c r="B22" s="60" t="s">
        <v>59</v>
      </c>
      <c r="C22" s="54"/>
      <c r="D22" s="54"/>
      <c r="E22" s="64" t="s">
        <v>91</v>
      </c>
      <c r="F22" s="85">
        <v>1704</v>
      </c>
      <c r="G22" s="89">
        <f>1724593/1000</f>
        <v>1724.5930000000001</v>
      </c>
      <c r="H22" s="110">
        <f>27175034/1000</f>
        <v>27175.034</v>
      </c>
      <c r="I22" s="90">
        <f>ROUND(13907395/1000,0)</f>
        <v>13907</v>
      </c>
      <c r="J22" s="85">
        <v>24271</v>
      </c>
      <c r="K22" s="65">
        <v>27867</v>
      </c>
      <c r="L22" s="85">
        <v>510</v>
      </c>
      <c r="M22" s="65">
        <v>715</v>
      </c>
      <c r="N22" s="65"/>
      <c r="O22" s="65"/>
      <c r="P22" s="18"/>
      <c r="Q22" s="18"/>
      <c r="R22" s="18"/>
      <c r="S22" s="18"/>
      <c r="T22" s="18"/>
      <c r="U22" s="18"/>
      <c r="V22" s="18"/>
      <c r="W22" s="18"/>
      <c r="X22" s="18"/>
      <c r="Y22" s="18"/>
    </row>
    <row r="23" spans="1:25" ht="16" customHeight="1">
      <c r="A23" s="120"/>
      <c r="B23" s="61" t="s">
        <v>60</v>
      </c>
      <c r="C23" s="54" t="s">
        <v>61</v>
      </c>
      <c r="D23" s="54"/>
      <c r="E23" s="64"/>
      <c r="F23" s="85">
        <v>969</v>
      </c>
      <c r="G23" s="89">
        <f>984062/1000</f>
        <v>984.06200000000001</v>
      </c>
      <c r="H23" s="110">
        <f>2414526/1000</f>
        <v>2414.5259999999998</v>
      </c>
      <c r="I23" s="90">
        <f>ROUND(2362110/1000,0)</f>
        <v>2362</v>
      </c>
      <c r="J23" s="85">
        <v>15339</v>
      </c>
      <c r="K23" s="65">
        <v>16256</v>
      </c>
      <c r="L23" s="85">
        <v>250</v>
      </c>
      <c r="M23" s="65">
        <v>287</v>
      </c>
      <c r="N23" s="65"/>
      <c r="O23" s="65"/>
      <c r="P23" s="18"/>
      <c r="Q23" s="18"/>
      <c r="R23" s="18"/>
      <c r="S23" s="18"/>
      <c r="T23" s="18"/>
      <c r="U23" s="18"/>
      <c r="V23" s="18"/>
      <c r="W23" s="18"/>
      <c r="X23" s="18"/>
      <c r="Y23" s="18"/>
    </row>
    <row r="24" spans="1:25" ht="16" customHeight="1">
      <c r="A24" s="120"/>
      <c r="B24" s="54" t="s">
        <v>92</v>
      </c>
      <c r="C24" s="54"/>
      <c r="D24" s="54"/>
      <c r="E24" s="64" t="s">
        <v>93</v>
      </c>
      <c r="F24" s="85">
        <f>F21-F22</f>
        <v>-510</v>
      </c>
      <c r="G24" s="65">
        <f t="shared" ref="G24:M24" si="5">G21-G22</f>
        <v>-509.14800000000014</v>
      </c>
      <c r="H24" s="85">
        <f t="shared" si="5"/>
        <v>-1365.7870000000003</v>
      </c>
      <c r="I24" s="90">
        <f>I21-I22</f>
        <v>-1354</v>
      </c>
      <c r="J24" s="85">
        <f t="shared" si="5"/>
        <v>-10191</v>
      </c>
      <c r="K24" s="65">
        <f t="shared" si="5"/>
        <v>-10370</v>
      </c>
      <c r="L24" s="85">
        <f t="shared" si="5"/>
        <v>9</v>
      </c>
      <c r="M24" s="65">
        <f t="shared" si="5"/>
        <v>-2</v>
      </c>
      <c r="N24" s="65">
        <f t="shared" ref="N24:O24" si="6">N21-N22</f>
        <v>0</v>
      </c>
      <c r="O24" s="65">
        <f t="shared" si="6"/>
        <v>0</v>
      </c>
      <c r="P24" s="18"/>
      <c r="Q24" s="18"/>
      <c r="R24" s="18"/>
      <c r="S24" s="18"/>
      <c r="T24" s="18"/>
      <c r="U24" s="18"/>
      <c r="V24" s="18"/>
      <c r="W24" s="18"/>
      <c r="X24" s="18"/>
      <c r="Y24" s="18"/>
    </row>
    <row r="25" spans="1:25" ht="16" customHeight="1">
      <c r="A25" s="120"/>
      <c r="B25" s="60" t="s">
        <v>62</v>
      </c>
      <c r="C25" s="60"/>
      <c r="D25" s="60"/>
      <c r="E25" s="124" t="s">
        <v>94</v>
      </c>
      <c r="F25" s="126">
        <v>510</v>
      </c>
      <c r="G25" s="129">
        <f>509148/1000</f>
        <v>509.14800000000002</v>
      </c>
      <c r="H25" s="126">
        <f>-(H21-H22)</f>
        <v>1365.7870000000003</v>
      </c>
      <c r="I25" s="118">
        <f>-(I21-I22)</f>
        <v>1354</v>
      </c>
      <c r="J25" s="126">
        <v>10191</v>
      </c>
      <c r="K25" s="132">
        <v>10370</v>
      </c>
      <c r="L25" s="126">
        <v>0</v>
      </c>
      <c r="M25" s="132">
        <v>2</v>
      </c>
      <c r="N25" s="132"/>
      <c r="O25" s="132"/>
      <c r="P25" s="18"/>
      <c r="Q25" s="18"/>
      <c r="R25" s="18"/>
      <c r="S25" s="18"/>
      <c r="T25" s="18"/>
      <c r="U25" s="18"/>
      <c r="V25" s="18"/>
      <c r="W25" s="18"/>
      <c r="X25" s="18"/>
      <c r="Y25" s="18"/>
    </row>
    <row r="26" spans="1:25" ht="16" customHeight="1">
      <c r="A26" s="120"/>
      <c r="B26" s="81" t="s">
        <v>63</v>
      </c>
      <c r="C26" s="81"/>
      <c r="D26" s="81"/>
      <c r="E26" s="125"/>
      <c r="F26" s="127"/>
      <c r="G26" s="119"/>
      <c r="H26" s="127"/>
      <c r="I26" s="119"/>
      <c r="J26" s="127"/>
      <c r="K26" s="127"/>
      <c r="L26" s="127"/>
      <c r="M26" s="127"/>
      <c r="N26" s="127"/>
      <c r="O26" s="127"/>
      <c r="P26" s="18"/>
      <c r="Q26" s="18"/>
      <c r="R26" s="18"/>
      <c r="S26" s="18"/>
      <c r="T26" s="18"/>
      <c r="U26" s="18"/>
      <c r="V26" s="18"/>
      <c r="W26" s="18"/>
      <c r="X26" s="18"/>
      <c r="Y26" s="18"/>
    </row>
    <row r="27" spans="1:25" ht="16" customHeight="1">
      <c r="A27" s="120"/>
      <c r="B27" s="54" t="s">
        <v>95</v>
      </c>
      <c r="C27" s="54"/>
      <c r="D27" s="54"/>
      <c r="E27" s="64" t="s">
        <v>96</v>
      </c>
      <c r="F27" s="85">
        <f>F24+F25</f>
        <v>0</v>
      </c>
      <c r="G27" s="65">
        <f t="shared" ref="G27:M27" si="7">G24+G25</f>
        <v>0</v>
      </c>
      <c r="H27" s="85">
        <f t="shared" si="7"/>
        <v>0</v>
      </c>
      <c r="I27" s="90">
        <f t="shared" si="7"/>
        <v>0</v>
      </c>
      <c r="J27" s="85">
        <f t="shared" si="7"/>
        <v>0</v>
      </c>
      <c r="K27" s="65">
        <f t="shared" si="7"/>
        <v>0</v>
      </c>
      <c r="L27" s="85">
        <f t="shared" si="7"/>
        <v>9</v>
      </c>
      <c r="M27" s="65">
        <f t="shared" si="7"/>
        <v>0</v>
      </c>
      <c r="N27" s="65">
        <f t="shared" ref="N27:O27" si="8">N24+N25</f>
        <v>0</v>
      </c>
      <c r="O27" s="65">
        <f t="shared" si="8"/>
        <v>0</v>
      </c>
      <c r="P27" s="18"/>
      <c r="Q27" s="18"/>
      <c r="R27" s="18"/>
      <c r="S27" s="18"/>
      <c r="T27" s="18"/>
      <c r="U27" s="18"/>
      <c r="V27" s="18"/>
      <c r="W27" s="18"/>
      <c r="X27" s="18"/>
      <c r="Y27" s="18"/>
    </row>
    <row r="28" spans="1:25" ht="16" customHeight="1">
      <c r="A28" s="11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</row>
    <row r="29" spans="1:25" ht="16" customHeight="1">
      <c r="A29" s="12"/>
      <c r="F29" s="18"/>
      <c r="G29" s="18"/>
      <c r="H29" s="18"/>
      <c r="I29" s="18"/>
      <c r="J29" s="19"/>
      <c r="K29" s="19"/>
      <c r="L29" s="18"/>
      <c r="M29" s="18"/>
      <c r="N29" s="18"/>
      <c r="O29" s="19" t="s">
        <v>100</v>
      </c>
      <c r="P29" s="18"/>
      <c r="Q29" s="18"/>
      <c r="R29" s="18"/>
      <c r="S29" s="18"/>
      <c r="T29" s="18"/>
      <c r="U29" s="18"/>
      <c r="V29" s="18"/>
      <c r="W29" s="18"/>
      <c r="X29" s="18"/>
      <c r="Y29" s="19"/>
    </row>
    <row r="30" spans="1:25" ht="16" customHeight="1">
      <c r="A30" s="122" t="s">
        <v>64</v>
      </c>
      <c r="B30" s="122"/>
      <c r="C30" s="122"/>
      <c r="D30" s="122"/>
      <c r="E30" s="122"/>
      <c r="F30" s="131" t="s">
        <v>250</v>
      </c>
      <c r="G30" s="131"/>
      <c r="H30" s="131" t="s">
        <v>251</v>
      </c>
      <c r="I30" s="131"/>
      <c r="J30" s="131" t="s">
        <v>252</v>
      </c>
      <c r="K30" s="131"/>
      <c r="L30" s="131" t="s">
        <v>253</v>
      </c>
      <c r="M30" s="131"/>
      <c r="N30" s="131"/>
      <c r="O30" s="131"/>
      <c r="P30" s="24"/>
      <c r="Q30" s="18"/>
      <c r="R30" s="24"/>
      <c r="S30" s="18"/>
      <c r="T30" s="24"/>
      <c r="U30" s="18"/>
      <c r="V30" s="24"/>
      <c r="W30" s="18"/>
      <c r="X30" s="24"/>
      <c r="Y30" s="18"/>
    </row>
    <row r="31" spans="1:25" ht="16" customHeight="1">
      <c r="A31" s="122"/>
      <c r="B31" s="122"/>
      <c r="C31" s="122"/>
      <c r="D31" s="122"/>
      <c r="E31" s="122"/>
      <c r="F31" s="52" t="s">
        <v>236</v>
      </c>
      <c r="G31" s="52" t="s">
        <v>231</v>
      </c>
      <c r="H31" s="52" t="s">
        <v>236</v>
      </c>
      <c r="I31" s="52" t="s">
        <v>231</v>
      </c>
      <c r="J31" s="52" t="s">
        <v>236</v>
      </c>
      <c r="K31" s="52" t="s">
        <v>231</v>
      </c>
      <c r="L31" s="52" t="s">
        <v>236</v>
      </c>
      <c r="M31" s="52" t="s">
        <v>231</v>
      </c>
      <c r="N31" s="52" t="s">
        <v>236</v>
      </c>
      <c r="O31" s="52" t="s">
        <v>231</v>
      </c>
      <c r="P31" s="22"/>
      <c r="Q31" s="22"/>
      <c r="R31" s="22"/>
      <c r="S31" s="22"/>
      <c r="T31" s="22"/>
      <c r="U31" s="22"/>
      <c r="V31" s="22"/>
      <c r="W31" s="22"/>
      <c r="X31" s="22"/>
      <c r="Y31" s="22"/>
    </row>
    <row r="32" spans="1:25" ht="16" customHeight="1">
      <c r="A32" s="120" t="s">
        <v>85</v>
      </c>
      <c r="B32" s="60" t="s">
        <v>45</v>
      </c>
      <c r="C32" s="54"/>
      <c r="D32" s="54"/>
      <c r="E32" s="64" t="s">
        <v>36</v>
      </c>
      <c r="F32" s="85">
        <f>961855/1000</f>
        <v>961.85500000000002</v>
      </c>
      <c r="G32" s="89">
        <v>986.25900000000001</v>
      </c>
      <c r="H32" s="85">
        <v>895</v>
      </c>
      <c r="I32" s="89">
        <v>787</v>
      </c>
      <c r="J32" s="85">
        <v>0.39500000000000002</v>
      </c>
      <c r="K32" s="89">
        <v>0.39500000000000002</v>
      </c>
      <c r="L32" s="85">
        <v>10</v>
      </c>
      <c r="M32" s="65">
        <v>7</v>
      </c>
      <c r="N32" s="65"/>
      <c r="O32" s="65"/>
      <c r="P32" s="21"/>
      <c r="Q32" s="21"/>
      <c r="R32" s="21"/>
      <c r="S32" s="21"/>
      <c r="T32" s="23"/>
      <c r="U32" s="23"/>
      <c r="V32" s="21"/>
      <c r="W32" s="21"/>
      <c r="X32" s="23"/>
      <c r="Y32" s="23"/>
    </row>
    <row r="33" spans="1:25" ht="16" customHeight="1">
      <c r="A33" s="128"/>
      <c r="B33" s="62"/>
      <c r="C33" s="60" t="s">
        <v>65</v>
      </c>
      <c r="D33" s="54"/>
      <c r="E33" s="64"/>
      <c r="F33" s="85">
        <f>469004/1000</f>
        <v>469.00400000000002</v>
      </c>
      <c r="G33" s="89">
        <v>470.09100000000001</v>
      </c>
      <c r="H33" s="85">
        <v>495</v>
      </c>
      <c r="I33" s="89">
        <v>305</v>
      </c>
      <c r="J33" s="85">
        <v>0</v>
      </c>
      <c r="K33" s="89">
        <v>0</v>
      </c>
      <c r="L33" s="85">
        <v>10</v>
      </c>
      <c r="M33" s="65">
        <v>7</v>
      </c>
      <c r="N33" s="65"/>
      <c r="O33" s="65"/>
      <c r="P33" s="21"/>
      <c r="Q33" s="21"/>
      <c r="R33" s="21"/>
      <c r="S33" s="21"/>
      <c r="T33" s="23"/>
      <c r="U33" s="23"/>
      <c r="V33" s="21"/>
      <c r="W33" s="21"/>
      <c r="X33" s="23"/>
      <c r="Y33" s="23"/>
    </row>
    <row r="34" spans="1:25" ht="16" customHeight="1">
      <c r="A34" s="128"/>
      <c r="B34" s="62"/>
      <c r="C34" s="61"/>
      <c r="D34" s="54" t="s">
        <v>66</v>
      </c>
      <c r="E34" s="64"/>
      <c r="F34" s="85">
        <f>469004/1000</f>
        <v>469.00400000000002</v>
      </c>
      <c r="G34" s="89">
        <v>470.09100000000001</v>
      </c>
      <c r="H34" s="85">
        <v>485</v>
      </c>
      <c r="I34" s="89">
        <v>294</v>
      </c>
      <c r="J34" s="85">
        <v>0</v>
      </c>
      <c r="K34" s="89">
        <v>0</v>
      </c>
      <c r="L34" s="85">
        <v>10</v>
      </c>
      <c r="M34" s="65">
        <v>7</v>
      </c>
      <c r="N34" s="65"/>
      <c r="O34" s="65"/>
      <c r="P34" s="21"/>
      <c r="Q34" s="21"/>
      <c r="R34" s="21"/>
      <c r="S34" s="21"/>
      <c r="T34" s="23"/>
      <c r="U34" s="23"/>
      <c r="V34" s="21"/>
      <c r="W34" s="21"/>
      <c r="X34" s="23"/>
      <c r="Y34" s="23"/>
    </row>
    <row r="35" spans="1:25" ht="16" customHeight="1">
      <c r="A35" s="128"/>
      <c r="B35" s="61"/>
      <c r="C35" s="54" t="s">
        <v>67</v>
      </c>
      <c r="D35" s="54"/>
      <c r="E35" s="64"/>
      <c r="F35" s="85">
        <f>492851/1000</f>
        <v>492.851</v>
      </c>
      <c r="G35" s="89">
        <v>516.16800000000001</v>
      </c>
      <c r="H35" s="85">
        <v>400</v>
      </c>
      <c r="I35" s="89">
        <v>483</v>
      </c>
      <c r="J35" s="93">
        <v>0.39500000000000002</v>
      </c>
      <c r="K35" s="97">
        <v>0.39500000000000002</v>
      </c>
      <c r="L35" s="85">
        <v>0</v>
      </c>
      <c r="M35" s="65">
        <v>0</v>
      </c>
      <c r="N35" s="65"/>
      <c r="O35" s="65"/>
      <c r="P35" s="21"/>
      <c r="Q35" s="21"/>
      <c r="R35" s="21"/>
      <c r="S35" s="21"/>
      <c r="T35" s="23"/>
      <c r="U35" s="23"/>
      <c r="V35" s="21"/>
      <c r="W35" s="21"/>
      <c r="X35" s="23"/>
      <c r="Y35" s="23"/>
    </row>
    <row r="36" spans="1:25" ht="16" customHeight="1">
      <c r="A36" s="128"/>
      <c r="B36" s="60" t="s">
        <v>48</v>
      </c>
      <c r="C36" s="54"/>
      <c r="D36" s="54"/>
      <c r="E36" s="64" t="s">
        <v>37</v>
      </c>
      <c r="F36" s="85">
        <f>878183/1000</f>
        <v>878.18299999999999</v>
      </c>
      <c r="G36" s="89">
        <v>864.18600000000004</v>
      </c>
      <c r="H36" s="85">
        <v>895</v>
      </c>
      <c r="I36" s="89">
        <v>787</v>
      </c>
      <c r="J36" s="85">
        <v>0.39500000000000002</v>
      </c>
      <c r="K36" s="89">
        <v>0.39500000000000002</v>
      </c>
      <c r="L36" s="85">
        <v>0</v>
      </c>
      <c r="M36" s="65">
        <v>0</v>
      </c>
      <c r="N36" s="65"/>
      <c r="O36" s="65"/>
      <c r="P36" s="21"/>
      <c r="Q36" s="21"/>
      <c r="R36" s="21"/>
      <c r="S36" s="21"/>
      <c r="T36" s="21"/>
      <c r="U36" s="21"/>
      <c r="V36" s="21"/>
      <c r="W36" s="21"/>
      <c r="X36" s="23"/>
      <c r="Y36" s="23"/>
    </row>
    <row r="37" spans="1:25" ht="16" customHeight="1">
      <c r="A37" s="128"/>
      <c r="B37" s="62"/>
      <c r="C37" s="54" t="s">
        <v>68</v>
      </c>
      <c r="D37" s="54"/>
      <c r="E37" s="64"/>
      <c r="F37" s="85">
        <f>582705/1000</f>
        <v>582.70500000000004</v>
      </c>
      <c r="G37" s="89">
        <v>453.28399999999999</v>
      </c>
      <c r="H37" s="85">
        <v>859</v>
      </c>
      <c r="I37" s="89">
        <v>780</v>
      </c>
      <c r="J37" s="85">
        <v>0.39500000000000002</v>
      </c>
      <c r="K37" s="89">
        <v>0.39500000000000002</v>
      </c>
      <c r="L37" s="85">
        <v>0</v>
      </c>
      <c r="M37" s="65">
        <v>0</v>
      </c>
      <c r="N37" s="65"/>
      <c r="O37" s="65"/>
      <c r="P37" s="21"/>
      <c r="Q37" s="21"/>
      <c r="R37" s="21"/>
      <c r="S37" s="21"/>
      <c r="T37" s="21"/>
      <c r="U37" s="21"/>
      <c r="V37" s="21"/>
      <c r="W37" s="21"/>
      <c r="X37" s="23"/>
      <c r="Y37" s="23"/>
    </row>
    <row r="38" spans="1:25" ht="16" customHeight="1">
      <c r="A38" s="128"/>
      <c r="B38" s="61"/>
      <c r="C38" s="54" t="s">
        <v>69</v>
      </c>
      <c r="D38" s="54"/>
      <c r="E38" s="64"/>
      <c r="F38" s="85">
        <f>295478/1000</f>
        <v>295.47800000000001</v>
      </c>
      <c r="G38" s="89">
        <v>410.90199999999999</v>
      </c>
      <c r="H38" s="85">
        <v>36</v>
      </c>
      <c r="I38" s="89">
        <v>8</v>
      </c>
      <c r="J38" s="85">
        <v>0</v>
      </c>
      <c r="K38" s="89">
        <v>0</v>
      </c>
      <c r="L38" s="85">
        <v>0</v>
      </c>
      <c r="M38" s="65">
        <v>0</v>
      </c>
      <c r="N38" s="65"/>
      <c r="O38" s="65"/>
      <c r="P38" s="21"/>
      <c r="Q38" s="21"/>
      <c r="R38" s="23"/>
      <c r="S38" s="23"/>
      <c r="T38" s="21"/>
      <c r="U38" s="21"/>
      <c r="V38" s="21"/>
      <c r="W38" s="21"/>
      <c r="X38" s="23"/>
      <c r="Y38" s="23"/>
    </row>
    <row r="39" spans="1:25" ht="16" customHeight="1">
      <c r="A39" s="128"/>
      <c r="B39" s="29" t="s">
        <v>70</v>
      </c>
      <c r="C39" s="29"/>
      <c r="D39" s="29"/>
      <c r="E39" s="64" t="s">
        <v>97</v>
      </c>
      <c r="F39" s="85">
        <f t="shared" ref="F39" si="9">F32-F36</f>
        <v>83.672000000000025</v>
      </c>
      <c r="G39" s="65">
        <f t="shared" ref="G39:M39" si="10">G32-G36</f>
        <v>122.07299999999998</v>
      </c>
      <c r="H39" s="85">
        <f t="shared" si="10"/>
        <v>0</v>
      </c>
      <c r="I39" s="65">
        <f t="shared" si="10"/>
        <v>0</v>
      </c>
      <c r="J39" s="85">
        <f t="shared" si="10"/>
        <v>0</v>
      </c>
      <c r="K39" s="89">
        <f t="shared" si="10"/>
        <v>0</v>
      </c>
      <c r="L39" s="85">
        <f t="shared" si="10"/>
        <v>10</v>
      </c>
      <c r="M39" s="65">
        <f t="shared" si="10"/>
        <v>7</v>
      </c>
      <c r="N39" s="65">
        <f t="shared" ref="N39:O39" si="11">N32-N36</f>
        <v>0</v>
      </c>
      <c r="O39" s="65">
        <f t="shared" si="11"/>
        <v>0</v>
      </c>
      <c r="P39" s="21"/>
      <c r="Q39" s="21"/>
      <c r="R39" s="21"/>
      <c r="S39" s="21"/>
      <c r="T39" s="21"/>
      <c r="U39" s="21"/>
      <c r="V39" s="21"/>
      <c r="W39" s="21"/>
      <c r="X39" s="23"/>
      <c r="Y39" s="23"/>
    </row>
    <row r="40" spans="1:25" ht="16" customHeight="1">
      <c r="A40" s="120" t="s">
        <v>86</v>
      </c>
      <c r="B40" s="60" t="s">
        <v>71</v>
      </c>
      <c r="C40" s="54"/>
      <c r="D40" s="54"/>
      <c r="E40" s="64" t="s">
        <v>39</v>
      </c>
      <c r="F40" s="85">
        <f>109338/1000</f>
        <v>109.33799999999999</v>
      </c>
      <c r="G40" s="89">
        <v>90.498000000000005</v>
      </c>
      <c r="H40" s="85">
        <v>354</v>
      </c>
      <c r="I40" s="89">
        <v>1396</v>
      </c>
      <c r="J40" s="85">
        <v>534.84400000000005</v>
      </c>
      <c r="K40" s="89">
        <v>548.93799999999999</v>
      </c>
      <c r="L40" s="85">
        <v>0</v>
      </c>
      <c r="M40" s="65">
        <v>0</v>
      </c>
      <c r="N40" s="65"/>
      <c r="O40" s="65"/>
      <c r="P40" s="21"/>
      <c r="Q40" s="21"/>
      <c r="R40" s="21"/>
      <c r="S40" s="21"/>
      <c r="T40" s="23"/>
      <c r="U40" s="23"/>
      <c r="V40" s="23"/>
      <c r="W40" s="23"/>
      <c r="X40" s="21"/>
      <c r="Y40" s="21"/>
    </row>
    <row r="41" spans="1:25" ht="16" customHeight="1">
      <c r="A41" s="121"/>
      <c r="B41" s="61"/>
      <c r="C41" s="54" t="s">
        <v>72</v>
      </c>
      <c r="D41" s="54"/>
      <c r="E41" s="64"/>
      <c r="F41" s="93">
        <f>38000/1000</f>
        <v>38</v>
      </c>
      <c r="G41" s="97">
        <v>64</v>
      </c>
      <c r="H41" s="93">
        <v>206</v>
      </c>
      <c r="I41" s="97">
        <v>1124</v>
      </c>
      <c r="J41" s="85">
        <v>0</v>
      </c>
      <c r="K41" s="89">
        <v>0</v>
      </c>
      <c r="L41" s="85">
        <v>0</v>
      </c>
      <c r="M41" s="65">
        <v>0</v>
      </c>
      <c r="N41" s="65"/>
      <c r="O41" s="65"/>
      <c r="P41" s="23"/>
      <c r="Q41" s="23"/>
      <c r="R41" s="23"/>
      <c r="S41" s="23"/>
      <c r="T41" s="23"/>
      <c r="U41" s="23"/>
      <c r="V41" s="23"/>
      <c r="W41" s="23"/>
      <c r="X41" s="21"/>
      <c r="Y41" s="21"/>
    </row>
    <row r="42" spans="1:25" ht="16" customHeight="1">
      <c r="A42" s="121"/>
      <c r="B42" s="60" t="s">
        <v>59</v>
      </c>
      <c r="C42" s="54"/>
      <c r="D42" s="54"/>
      <c r="E42" s="64" t="s">
        <v>40</v>
      </c>
      <c r="F42" s="85">
        <f>193010/1000</f>
        <v>193.01</v>
      </c>
      <c r="G42" s="89">
        <v>212.571</v>
      </c>
      <c r="H42" s="85">
        <v>354</v>
      </c>
      <c r="I42" s="89">
        <v>1396</v>
      </c>
      <c r="J42" s="85">
        <v>534.84400000000005</v>
      </c>
      <c r="K42" s="98">
        <v>548.93799999999999</v>
      </c>
      <c r="L42" s="85">
        <v>10</v>
      </c>
      <c r="M42" s="65">
        <v>7</v>
      </c>
      <c r="N42" s="65"/>
      <c r="O42" s="65"/>
      <c r="P42" s="21"/>
      <c r="Q42" s="21"/>
      <c r="R42" s="21"/>
      <c r="S42" s="21"/>
      <c r="T42" s="23"/>
      <c r="U42" s="23"/>
      <c r="V42" s="21"/>
      <c r="W42" s="21"/>
      <c r="X42" s="21"/>
      <c r="Y42" s="21"/>
    </row>
    <row r="43" spans="1:25" ht="16" customHeight="1">
      <c r="A43" s="121"/>
      <c r="B43" s="61"/>
      <c r="C43" s="54" t="s">
        <v>73</v>
      </c>
      <c r="D43" s="54"/>
      <c r="E43" s="64"/>
      <c r="F43" s="85">
        <f>150010/1000</f>
        <v>150.01</v>
      </c>
      <c r="G43" s="89">
        <v>129.56100000000001</v>
      </c>
      <c r="H43" s="85">
        <v>141</v>
      </c>
      <c r="I43" s="89">
        <v>121</v>
      </c>
      <c r="J43" s="93">
        <v>241.94399999999999</v>
      </c>
      <c r="K43" s="97">
        <v>278.404</v>
      </c>
      <c r="L43" s="85">
        <v>0</v>
      </c>
      <c r="M43" s="65">
        <v>0</v>
      </c>
      <c r="N43" s="65"/>
      <c r="O43" s="65"/>
      <c r="P43" s="21"/>
      <c r="Q43" s="21"/>
      <c r="R43" s="23"/>
      <c r="S43" s="21"/>
      <c r="T43" s="23"/>
      <c r="U43" s="23"/>
      <c r="V43" s="21"/>
      <c r="W43" s="21"/>
      <c r="X43" s="23"/>
      <c r="Y43" s="23"/>
    </row>
    <row r="44" spans="1:25" ht="16" customHeight="1">
      <c r="A44" s="121"/>
      <c r="B44" s="54" t="s">
        <v>70</v>
      </c>
      <c r="C44" s="54"/>
      <c r="D44" s="54"/>
      <c r="E44" s="64" t="s">
        <v>98</v>
      </c>
      <c r="F44" s="93">
        <f t="shared" ref="F44" si="12">F40-F42</f>
        <v>-83.671999999999997</v>
      </c>
      <c r="G44" s="67">
        <f t="shared" ref="G44:M44" si="13">G40-G42</f>
        <v>-122.07299999999999</v>
      </c>
      <c r="H44" s="93">
        <f t="shared" si="13"/>
        <v>0</v>
      </c>
      <c r="I44" s="67">
        <f t="shared" si="13"/>
        <v>0</v>
      </c>
      <c r="J44" s="93">
        <f t="shared" si="13"/>
        <v>0</v>
      </c>
      <c r="K44" s="97">
        <f t="shared" si="13"/>
        <v>0</v>
      </c>
      <c r="L44" s="93">
        <f t="shared" si="13"/>
        <v>-10</v>
      </c>
      <c r="M44" s="67">
        <f t="shared" si="13"/>
        <v>-7</v>
      </c>
      <c r="N44" s="67">
        <f t="shared" ref="N44:O44" si="14">N40-N42</f>
        <v>0</v>
      </c>
      <c r="O44" s="67">
        <f t="shared" si="14"/>
        <v>0</v>
      </c>
      <c r="P44" s="23"/>
      <c r="Q44" s="23"/>
      <c r="R44" s="21"/>
      <c r="S44" s="21"/>
      <c r="T44" s="23"/>
      <c r="U44" s="23"/>
      <c r="V44" s="21"/>
      <c r="W44" s="21"/>
      <c r="X44" s="21"/>
      <c r="Y44" s="21"/>
    </row>
    <row r="45" spans="1:25" ht="16" customHeight="1">
      <c r="A45" s="120" t="s">
        <v>78</v>
      </c>
      <c r="B45" s="29" t="s">
        <v>74</v>
      </c>
      <c r="C45" s="29"/>
      <c r="D45" s="29"/>
      <c r="E45" s="64" t="s">
        <v>99</v>
      </c>
      <c r="F45" s="85">
        <f t="shared" ref="F45" si="15">F39+F44</f>
        <v>0</v>
      </c>
      <c r="G45" s="65">
        <f>G39+G44</f>
        <v>0</v>
      </c>
      <c r="H45" s="85">
        <f t="shared" ref="H45" si="16">H39+H44</f>
        <v>0</v>
      </c>
      <c r="I45" s="65">
        <f t="shared" ref="I45:M45" si="17">I39+I44</f>
        <v>0</v>
      </c>
      <c r="J45" s="85">
        <f t="shared" si="17"/>
        <v>0</v>
      </c>
      <c r="K45" s="89">
        <f t="shared" si="17"/>
        <v>0</v>
      </c>
      <c r="L45" s="85">
        <f t="shared" si="17"/>
        <v>0</v>
      </c>
      <c r="M45" s="65">
        <f t="shared" si="17"/>
        <v>0</v>
      </c>
      <c r="N45" s="65">
        <f t="shared" ref="N45:O45" si="18">N39+N44</f>
        <v>0</v>
      </c>
      <c r="O45" s="65">
        <f t="shared" si="18"/>
        <v>0</v>
      </c>
      <c r="P45" s="21"/>
      <c r="Q45" s="21"/>
      <c r="R45" s="21"/>
      <c r="S45" s="21"/>
      <c r="T45" s="21"/>
      <c r="U45" s="21"/>
      <c r="V45" s="21"/>
      <c r="W45" s="21"/>
      <c r="X45" s="21"/>
      <c r="Y45" s="21"/>
    </row>
    <row r="46" spans="1:25" ht="16" customHeight="1">
      <c r="A46" s="121"/>
      <c r="B46" s="54" t="s">
        <v>75</v>
      </c>
      <c r="C46" s="54"/>
      <c r="D46" s="54"/>
      <c r="E46" s="54"/>
      <c r="F46" s="93">
        <v>0</v>
      </c>
      <c r="G46" s="97">
        <v>0</v>
      </c>
      <c r="H46" s="97">
        <v>0</v>
      </c>
      <c r="I46" s="97">
        <v>0</v>
      </c>
      <c r="J46" s="93">
        <v>0</v>
      </c>
      <c r="K46" s="97">
        <v>0</v>
      </c>
      <c r="L46" s="85">
        <v>0</v>
      </c>
      <c r="M46" s="65">
        <v>0</v>
      </c>
      <c r="N46" s="67"/>
      <c r="O46" s="67"/>
      <c r="P46" s="23"/>
      <c r="Q46" s="23"/>
      <c r="R46" s="23"/>
      <c r="S46" s="23"/>
      <c r="T46" s="23"/>
      <c r="U46" s="23"/>
      <c r="V46" s="23"/>
      <c r="W46" s="23"/>
      <c r="X46" s="23"/>
      <c r="Y46" s="23"/>
    </row>
    <row r="47" spans="1:25" ht="16" customHeight="1">
      <c r="A47" s="121"/>
      <c r="B47" s="54" t="s">
        <v>76</v>
      </c>
      <c r="C47" s="54"/>
      <c r="D47" s="54"/>
      <c r="E47" s="54"/>
      <c r="F47" s="85">
        <v>0</v>
      </c>
      <c r="G47" s="89">
        <v>0</v>
      </c>
      <c r="H47" s="89">
        <v>0</v>
      </c>
      <c r="I47" s="89">
        <v>0</v>
      </c>
      <c r="J47" s="85">
        <v>0</v>
      </c>
      <c r="K47" s="89">
        <v>0</v>
      </c>
      <c r="L47" s="85">
        <v>0</v>
      </c>
      <c r="M47" s="65">
        <v>0</v>
      </c>
      <c r="N47" s="65"/>
      <c r="O47" s="65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:25" ht="16" customHeight="1">
      <c r="A48" s="121"/>
      <c r="B48" s="54" t="s">
        <v>77</v>
      </c>
      <c r="C48" s="54"/>
      <c r="D48" s="54"/>
      <c r="E48" s="54"/>
      <c r="F48" s="85">
        <v>0</v>
      </c>
      <c r="G48" s="89">
        <v>0</v>
      </c>
      <c r="H48" s="89">
        <v>0</v>
      </c>
      <c r="I48" s="89">
        <v>0</v>
      </c>
      <c r="J48" s="85">
        <v>0</v>
      </c>
      <c r="K48" s="89">
        <v>0</v>
      </c>
      <c r="L48" s="85">
        <v>0</v>
      </c>
      <c r="M48" s="65">
        <v>0</v>
      </c>
      <c r="N48" s="65"/>
      <c r="O48" s="65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:1" ht="16" customHeight="1">
      <c r="A49" s="11" t="s">
        <v>82</v>
      </c>
    </row>
    <row r="50" spans="1:1" ht="16" customHeight="1">
      <c r="A50" s="11"/>
    </row>
  </sheetData>
  <mergeCells count="28">
    <mergeCell ref="N6:O6"/>
    <mergeCell ref="F30:G30"/>
    <mergeCell ref="H30:I30"/>
    <mergeCell ref="J30:K30"/>
    <mergeCell ref="L30:M30"/>
    <mergeCell ref="N30:O30"/>
    <mergeCell ref="F6:G6"/>
    <mergeCell ref="H6:I6"/>
    <mergeCell ref="J6:K6"/>
    <mergeCell ref="L6:M6"/>
    <mergeCell ref="N25:N26"/>
    <mergeCell ref="O25:O26"/>
    <mergeCell ref="J25:J26"/>
    <mergeCell ref="K25:K26"/>
    <mergeCell ref="L25:L26"/>
    <mergeCell ref="M25:M26"/>
    <mergeCell ref="I25:I26"/>
    <mergeCell ref="A45:A48"/>
    <mergeCell ref="A30:E31"/>
    <mergeCell ref="A6:E7"/>
    <mergeCell ref="A8:A18"/>
    <mergeCell ref="A19:A27"/>
    <mergeCell ref="E25:E26"/>
    <mergeCell ref="F25:F26"/>
    <mergeCell ref="A32:A39"/>
    <mergeCell ref="G25:G26"/>
    <mergeCell ref="H25:H26"/>
    <mergeCell ref="A40:A44"/>
  </mergeCells>
  <phoneticPr fontId="7"/>
  <conditionalFormatting sqref="F8:F27">
    <cfRule type="containsBlanks" dxfId="37" priority="8">
      <formula>LEN(TRIM(F8))=0</formula>
    </cfRule>
  </conditionalFormatting>
  <conditionalFormatting sqref="F32:F48">
    <cfRule type="containsBlanks" dxfId="36" priority="7">
      <formula>LEN(TRIM(F32))=0</formula>
    </cfRule>
  </conditionalFormatting>
  <conditionalFormatting sqref="G8:G13">
    <cfRule type="containsBlanks" dxfId="35" priority="22">
      <formula>LEN(TRIM(G8))=0</formula>
    </cfRule>
  </conditionalFormatting>
  <conditionalFormatting sqref="G17:G23">
    <cfRule type="containsBlanks" dxfId="34" priority="21">
      <formula>LEN(TRIM(G17))=0</formula>
    </cfRule>
  </conditionalFormatting>
  <conditionalFormatting sqref="G25:G26">
    <cfRule type="containsBlanks" dxfId="33" priority="20">
      <formula>LEN(TRIM(G25))=0</formula>
    </cfRule>
  </conditionalFormatting>
  <conditionalFormatting sqref="G32:G38">
    <cfRule type="containsBlanks" dxfId="32" priority="16">
      <formula>LEN(TRIM(G32))=0</formula>
    </cfRule>
  </conditionalFormatting>
  <conditionalFormatting sqref="G40:G43">
    <cfRule type="containsBlanks" dxfId="31" priority="15">
      <formula>LEN(TRIM(G40))=0</formula>
    </cfRule>
  </conditionalFormatting>
  <conditionalFormatting sqref="G46:I48">
    <cfRule type="containsBlanks" dxfId="30" priority="5">
      <formula>LEN(TRIM(G46))=0</formula>
    </cfRule>
  </conditionalFormatting>
  <conditionalFormatting sqref="H8:H27">
    <cfRule type="containsBlanks" dxfId="29" priority="3">
      <formula>LEN(TRIM(H8))=0</formula>
    </cfRule>
  </conditionalFormatting>
  <conditionalFormatting sqref="H32:H45">
    <cfRule type="containsBlanks" dxfId="28" priority="6">
      <formula>LEN(TRIM(H32))=0</formula>
    </cfRule>
  </conditionalFormatting>
  <conditionalFormatting sqref="I8:I17">
    <cfRule type="containsBlanks" dxfId="27" priority="2">
      <formula>LEN(TRIM(I8))=0</formula>
    </cfRule>
  </conditionalFormatting>
  <conditionalFormatting sqref="I19:I27">
    <cfRule type="containsBlanks" dxfId="26" priority="1">
      <formula>LEN(TRIM(I19))=0</formula>
    </cfRule>
  </conditionalFormatting>
  <conditionalFormatting sqref="I32:I38">
    <cfRule type="containsBlanks" dxfId="25" priority="13">
      <formula>LEN(TRIM(I32))=0</formula>
    </cfRule>
  </conditionalFormatting>
  <conditionalFormatting sqref="I40:I43">
    <cfRule type="containsBlanks" dxfId="24" priority="12">
      <formula>LEN(TRIM(I40))=0</formula>
    </cfRule>
  </conditionalFormatting>
  <conditionalFormatting sqref="J8:J27 L8:L27">
    <cfRule type="containsBlanks" dxfId="23" priority="23">
      <formula>LEN(TRIM(J8))=0</formula>
    </cfRule>
  </conditionalFormatting>
  <conditionalFormatting sqref="J32:J48">
    <cfRule type="containsBlanks" dxfId="22" priority="9">
      <formula>LEN(TRIM(J32))=0</formula>
    </cfRule>
  </conditionalFormatting>
  <conditionalFormatting sqref="K32:K48">
    <cfRule type="containsBlanks" dxfId="21" priority="10">
      <formula>LEN(TRIM(K32))=0</formula>
    </cfRule>
  </conditionalFormatting>
  <conditionalFormatting sqref="L32:L48">
    <cfRule type="containsBlanks" dxfId="20" priority="4">
      <formula>LEN(TRIM(L32))=0</formula>
    </cfRule>
  </conditionalFormatting>
  <printOptions horizontalCentered="1" gridLinesSet="0"/>
  <pageMargins left="0.78740157480314965" right="0.36" top="0.28000000000000003" bottom="0.23" header="0.19685039370078741" footer="0.19685039370078741"/>
  <pageSetup paperSize="9" scale="66" firstPageNumber="3" orientation="landscape" useFirstPageNumber="1" horizontalDpi="4294967292" r:id="rId1"/>
  <headerFooter alignWithMargins="0">
    <oddHeader>&amp;R&amp;"明朝,斜体"&amp;9指定都市－2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2"/>
  <sheetViews>
    <sheetView view="pageBreakPreview" zoomScaleNormal="100" zoomScaleSheetLayoutView="100" workbookViewId="0">
      <pane xSplit="5" ySplit="8" topLeftCell="F9" activePane="bottomRight" state="frozen"/>
      <selection activeCell="M25" sqref="M25"/>
      <selection pane="topRight" activeCell="M25" sqref="M25"/>
      <selection pane="bottomLeft" activeCell="M25" sqref="M25"/>
      <selection pane="bottomRight" activeCell="M25" sqref="M25"/>
    </sheetView>
  </sheetViews>
  <sheetFormatPr defaultColWidth="9" defaultRowHeight="13"/>
  <cols>
    <col min="1" max="2" width="3.6328125" style="1" customWidth="1"/>
    <col min="3" max="4" width="1.6328125" style="1" customWidth="1"/>
    <col min="5" max="5" width="32.6328125" style="1" customWidth="1"/>
    <col min="6" max="6" width="15.6328125" style="1" customWidth="1"/>
    <col min="7" max="7" width="10.6328125" style="1" customWidth="1"/>
    <col min="8" max="8" width="15.6328125" style="1" customWidth="1"/>
    <col min="9" max="24" width="10.6328125" style="1" customWidth="1"/>
    <col min="25" max="16384" width="9" style="1"/>
  </cols>
  <sheetData>
    <row r="1" spans="1:24" ht="34" customHeight="1">
      <c r="A1" s="114" t="s">
        <v>0</v>
      </c>
      <c r="B1" s="114"/>
      <c r="C1" s="114"/>
      <c r="D1" s="114"/>
      <c r="E1" s="99" t="s">
        <v>254</v>
      </c>
      <c r="F1" s="2"/>
    </row>
    <row r="3" spans="1:24" ht="14">
      <c r="A3" s="10" t="s">
        <v>105</v>
      </c>
    </row>
    <row r="5" spans="1:24" ht="14">
      <c r="A5" s="9" t="s">
        <v>242</v>
      </c>
      <c r="E5" s="3"/>
    </row>
    <row r="6" spans="1:24" ht="14">
      <c r="A6" s="3"/>
      <c r="G6" s="116" t="s">
        <v>106</v>
      </c>
      <c r="H6" s="117"/>
      <c r="I6" s="117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</row>
    <row r="7" spans="1:24" ht="27" customHeight="1">
      <c r="A7" s="8"/>
      <c r="B7" s="4"/>
      <c r="C7" s="4"/>
      <c r="D7" s="4"/>
      <c r="E7" s="58"/>
      <c r="F7" s="50" t="s">
        <v>237</v>
      </c>
      <c r="G7" s="50"/>
      <c r="H7" s="50" t="s">
        <v>238</v>
      </c>
      <c r="I7" s="68" t="s">
        <v>20</v>
      </c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</row>
    <row r="8" spans="1:24" ht="17.149999999999999" customHeight="1">
      <c r="A8" s="5"/>
      <c r="B8" s="6"/>
      <c r="C8" s="6"/>
      <c r="D8" s="6"/>
      <c r="E8" s="59"/>
      <c r="F8" s="52" t="s">
        <v>229</v>
      </c>
      <c r="G8" s="52" t="s">
        <v>1</v>
      </c>
      <c r="H8" s="52" t="s">
        <v>229</v>
      </c>
      <c r="I8" s="53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</row>
    <row r="9" spans="1:24" ht="18" customHeight="1">
      <c r="A9" s="115" t="s">
        <v>79</v>
      </c>
      <c r="B9" s="115" t="s">
        <v>80</v>
      </c>
      <c r="C9" s="60" t="s">
        <v>2</v>
      </c>
      <c r="D9" s="54"/>
      <c r="E9" s="54"/>
      <c r="F9" s="55">
        <v>207965</v>
      </c>
      <c r="G9" s="56">
        <f t="shared" ref="G9:G22" si="0">F9/$F$22*100</f>
        <v>40.683639294489574</v>
      </c>
      <c r="H9" s="55">
        <v>205438</v>
      </c>
      <c r="I9" s="56">
        <f t="shared" ref="I9:I40" si="1">(F9/H9-1)*100</f>
        <v>1.2300548097236241</v>
      </c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</row>
    <row r="10" spans="1:24" ht="18" customHeight="1">
      <c r="A10" s="115"/>
      <c r="B10" s="115"/>
      <c r="C10" s="62"/>
      <c r="D10" s="60" t="s">
        <v>21</v>
      </c>
      <c r="E10" s="54"/>
      <c r="F10" s="55">
        <v>108990</v>
      </c>
      <c r="G10" s="56">
        <f t="shared" si="0"/>
        <v>21.321423541011313</v>
      </c>
      <c r="H10" s="55">
        <v>107922</v>
      </c>
      <c r="I10" s="56">
        <f t="shared" si="1"/>
        <v>0.98960360260187397</v>
      </c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</row>
    <row r="11" spans="1:24" ht="18" customHeight="1">
      <c r="A11" s="115"/>
      <c r="B11" s="115"/>
      <c r="C11" s="49"/>
      <c r="D11" s="49"/>
      <c r="E11" s="29" t="s">
        <v>22</v>
      </c>
      <c r="F11" s="55">
        <v>94264</v>
      </c>
      <c r="G11" s="56">
        <f t="shared" si="0"/>
        <v>18.440615365353615</v>
      </c>
      <c r="H11" s="55">
        <v>92188</v>
      </c>
      <c r="I11" s="56">
        <f t="shared" si="1"/>
        <v>2.2519199895864928</v>
      </c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</row>
    <row r="12" spans="1:24" ht="18" customHeight="1">
      <c r="A12" s="115"/>
      <c r="B12" s="115"/>
      <c r="C12" s="49"/>
      <c r="D12" s="28"/>
      <c r="E12" s="29" t="s">
        <v>23</v>
      </c>
      <c r="F12" s="55">
        <v>9311</v>
      </c>
      <c r="G12" s="56">
        <f t="shared" si="0"/>
        <v>1.8214861417593942</v>
      </c>
      <c r="H12" s="55">
        <v>10288</v>
      </c>
      <c r="I12" s="56">
        <f t="shared" si="1"/>
        <v>-9.496500777604977</v>
      </c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</row>
    <row r="13" spans="1:24" ht="18" customHeight="1">
      <c r="A13" s="115"/>
      <c r="B13" s="115"/>
      <c r="C13" s="61"/>
      <c r="D13" s="54" t="s">
        <v>24</v>
      </c>
      <c r="E13" s="54"/>
      <c r="F13" s="55">
        <v>71623</v>
      </c>
      <c r="G13" s="56">
        <f t="shared" si="0"/>
        <v>14.011416811430896</v>
      </c>
      <c r="H13" s="55">
        <v>70599</v>
      </c>
      <c r="I13" s="56">
        <f t="shared" si="1"/>
        <v>1.4504454737319206</v>
      </c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</row>
    <row r="14" spans="1:24" ht="18" customHeight="1">
      <c r="A14" s="115"/>
      <c r="B14" s="115"/>
      <c r="C14" s="54" t="s">
        <v>3</v>
      </c>
      <c r="D14" s="54"/>
      <c r="E14" s="54"/>
      <c r="F14" s="55">
        <v>2663</v>
      </c>
      <c r="G14" s="56">
        <f t="shared" si="0"/>
        <v>0.52095560041942501</v>
      </c>
      <c r="H14" s="55">
        <v>2694</v>
      </c>
      <c r="I14" s="56">
        <f t="shared" si="1"/>
        <v>-1.1507052709725296</v>
      </c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</row>
    <row r="15" spans="1:24" ht="18" customHeight="1">
      <c r="A15" s="115"/>
      <c r="B15" s="115"/>
      <c r="C15" s="54" t="s">
        <v>4</v>
      </c>
      <c r="D15" s="54"/>
      <c r="E15" s="54"/>
      <c r="F15" s="55">
        <v>25446</v>
      </c>
      <c r="G15" s="56">
        <f t="shared" si="0"/>
        <v>4.9779332363021744</v>
      </c>
      <c r="H15" s="55">
        <v>20922</v>
      </c>
      <c r="I15" s="56">
        <f t="shared" si="1"/>
        <v>21.623171780900496</v>
      </c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</row>
    <row r="16" spans="1:24" ht="18" customHeight="1">
      <c r="A16" s="115"/>
      <c r="B16" s="115"/>
      <c r="C16" s="54" t="s">
        <v>25</v>
      </c>
      <c r="D16" s="54"/>
      <c r="E16" s="54"/>
      <c r="F16" s="55">
        <v>9508</v>
      </c>
      <c r="G16" s="56">
        <f t="shared" si="0"/>
        <v>1.8600247272954913</v>
      </c>
      <c r="H16" s="55">
        <v>9502</v>
      </c>
      <c r="I16" s="56">
        <f t="shared" si="1"/>
        <v>6.3144601136611023E-2</v>
      </c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</row>
    <row r="17" spans="1:24" ht="18" customHeight="1">
      <c r="A17" s="115"/>
      <c r="B17" s="115"/>
      <c r="C17" s="54" t="s">
        <v>5</v>
      </c>
      <c r="D17" s="54"/>
      <c r="E17" s="54"/>
      <c r="F17" s="55">
        <v>116071</v>
      </c>
      <c r="G17" s="56">
        <f t="shared" si="0"/>
        <v>22.7066607195956</v>
      </c>
      <c r="H17" s="55">
        <v>123051</v>
      </c>
      <c r="I17" s="56">
        <f t="shared" si="1"/>
        <v>-5.6724447586772975</v>
      </c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</row>
    <row r="18" spans="1:24" ht="18" customHeight="1">
      <c r="A18" s="115"/>
      <c r="B18" s="115"/>
      <c r="C18" s="54" t="s">
        <v>26</v>
      </c>
      <c r="D18" s="54"/>
      <c r="E18" s="54"/>
      <c r="F18" s="55">
        <v>25778</v>
      </c>
      <c r="G18" s="56">
        <f t="shared" si="0"/>
        <v>5.0428815124340733</v>
      </c>
      <c r="H18" s="55">
        <v>28246</v>
      </c>
      <c r="I18" s="56">
        <f t="shared" si="1"/>
        <v>-8.7375203568646924</v>
      </c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</row>
    <row r="19" spans="1:24" ht="18" customHeight="1">
      <c r="A19" s="115"/>
      <c r="B19" s="115"/>
      <c r="C19" s="54" t="s">
        <v>27</v>
      </c>
      <c r="D19" s="54"/>
      <c r="E19" s="54"/>
      <c r="F19" s="55">
        <v>2181</v>
      </c>
      <c r="G19" s="56">
        <f t="shared" si="0"/>
        <v>0.42666322362552234</v>
      </c>
      <c r="H19" s="55">
        <v>1449</v>
      </c>
      <c r="I19" s="56">
        <f t="shared" si="1"/>
        <v>50.5175983436853</v>
      </c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</row>
    <row r="20" spans="1:24" ht="18" customHeight="1">
      <c r="A20" s="115"/>
      <c r="B20" s="115"/>
      <c r="C20" s="54" t="s">
        <v>6</v>
      </c>
      <c r="D20" s="54"/>
      <c r="E20" s="54"/>
      <c r="F20" s="55">
        <v>42770</v>
      </c>
      <c r="G20" s="56">
        <f t="shared" si="0"/>
        <v>8.3669812354257633</v>
      </c>
      <c r="H20" s="55">
        <v>60035</v>
      </c>
      <c r="I20" s="56">
        <f t="shared" si="1"/>
        <v>-28.758224369118011</v>
      </c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</row>
    <row r="21" spans="1:24" ht="18" customHeight="1">
      <c r="A21" s="115"/>
      <c r="B21" s="115"/>
      <c r="C21" s="54" t="s">
        <v>7</v>
      </c>
      <c r="D21" s="54"/>
      <c r="E21" s="54"/>
      <c r="F21" s="55">
        <v>78794</v>
      </c>
      <c r="G21" s="56">
        <f t="shared" si="0"/>
        <v>15.414260450412382</v>
      </c>
      <c r="H21" s="55">
        <v>83646</v>
      </c>
      <c r="I21" s="56">
        <f t="shared" si="1"/>
        <v>-5.8006360136766855</v>
      </c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</row>
    <row r="22" spans="1:24" ht="18" customHeight="1">
      <c r="A22" s="115"/>
      <c r="B22" s="115"/>
      <c r="C22" s="54" t="s">
        <v>8</v>
      </c>
      <c r="D22" s="54"/>
      <c r="E22" s="54"/>
      <c r="F22" s="55">
        <f>SUM(F9,F14:F21)</f>
        <v>511176</v>
      </c>
      <c r="G22" s="56">
        <f t="shared" si="0"/>
        <v>100</v>
      </c>
      <c r="H22" s="55">
        <f>SUM(H9,H14:H21)</f>
        <v>534983</v>
      </c>
      <c r="I22" s="56">
        <f t="shared" si="1"/>
        <v>-4.4500479454487323</v>
      </c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</row>
    <row r="23" spans="1:24" ht="18" customHeight="1">
      <c r="A23" s="115"/>
      <c r="B23" s="115" t="s">
        <v>81</v>
      </c>
      <c r="C23" s="63" t="s">
        <v>9</v>
      </c>
      <c r="D23" s="29"/>
      <c r="E23" s="29"/>
      <c r="F23" s="55">
        <v>294903</v>
      </c>
      <c r="G23" s="56">
        <f t="shared" ref="G23:G40" si="2">F23/$F$40*100</f>
        <v>58.198413324913169</v>
      </c>
      <c r="H23" s="55">
        <v>282648</v>
      </c>
      <c r="I23" s="56">
        <f t="shared" si="1"/>
        <v>4.3357816082194134</v>
      </c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</row>
    <row r="24" spans="1:24" ht="18" customHeight="1">
      <c r="A24" s="115"/>
      <c r="B24" s="115"/>
      <c r="C24" s="62"/>
      <c r="D24" s="29" t="s">
        <v>10</v>
      </c>
      <c r="E24" s="29"/>
      <c r="F24" s="55">
        <v>96564</v>
      </c>
      <c r="G24" s="56">
        <f t="shared" si="2"/>
        <v>19.056678244395329</v>
      </c>
      <c r="H24" s="55">
        <v>97643</v>
      </c>
      <c r="I24" s="56">
        <f t="shared" si="1"/>
        <v>-1.1050459326321427</v>
      </c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</row>
    <row r="25" spans="1:24" ht="18" customHeight="1">
      <c r="A25" s="115"/>
      <c r="B25" s="115"/>
      <c r="C25" s="62"/>
      <c r="D25" s="29" t="s">
        <v>28</v>
      </c>
      <c r="E25" s="29"/>
      <c r="F25" s="55">
        <v>142750</v>
      </c>
      <c r="G25" s="56">
        <f t="shared" si="2"/>
        <v>28.171376697189771</v>
      </c>
      <c r="H25" s="55">
        <v>131749</v>
      </c>
      <c r="I25" s="56">
        <f>(F25/H25-1)*100+0.1</f>
        <v>8.4499685007096819</v>
      </c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</row>
    <row r="26" spans="1:24" ht="18" customHeight="1">
      <c r="A26" s="115"/>
      <c r="B26" s="115"/>
      <c r="C26" s="61"/>
      <c r="D26" s="29" t="s">
        <v>11</v>
      </c>
      <c r="E26" s="29"/>
      <c r="F26" s="55">
        <v>55588</v>
      </c>
      <c r="G26" s="56">
        <f t="shared" si="2"/>
        <v>10.970161035680455</v>
      </c>
      <c r="H26" s="55">
        <v>53256</v>
      </c>
      <c r="I26" s="56">
        <f t="shared" si="1"/>
        <v>4.3788493315307209</v>
      </c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</row>
    <row r="27" spans="1:24" ht="18" customHeight="1">
      <c r="A27" s="115"/>
      <c r="B27" s="115"/>
      <c r="C27" s="63" t="s">
        <v>12</v>
      </c>
      <c r="D27" s="29"/>
      <c r="E27" s="29"/>
      <c r="F27" s="55">
        <f>SUM(F28:F33)</f>
        <v>164974</v>
      </c>
      <c r="G27" s="56">
        <f t="shared" si="2"/>
        <v>32.557230817808652</v>
      </c>
      <c r="H27" s="55">
        <v>182243</v>
      </c>
      <c r="I27" s="56">
        <f t="shared" si="1"/>
        <v>-9.4758097704712885</v>
      </c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</row>
    <row r="28" spans="1:24" ht="18" customHeight="1">
      <c r="A28" s="115"/>
      <c r="B28" s="115"/>
      <c r="C28" s="62"/>
      <c r="D28" s="29" t="s">
        <v>13</v>
      </c>
      <c r="E28" s="29"/>
      <c r="F28" s="55">
        <v>68454</v>
      </c>
      <c r="G28" s="56">
        <f t="shared" si="2"/>
        <v>13.509235869908432</v>
      </c>
      <c r="H28" s="55">
        <v>81456</v>
      </c>
      <c r="I28" s="56">
        <f t="shared" si="1"/>
        <v>-15.96199175014732</v>
      </c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</row>
    <row r="29" spans="1:24" ht="18" customHeight="1">
      <c r="A29" s="115"/>
      <c r="B29" s="115"/>
      <c r="C29" s="62"/>
      <c r="D29" s="29" t="s">
        <v>29</v>
      </c>
      <c r="E29" s="29"/>
      <c r="F29" s="55">
        <v>9448</v>
      </c>
      <c r="G29" s="56">
        <f t="shared" si="2"/>
        <v>1.8645405746763499</v>
      </c>
      <c r="H29" s="55">
        <v>9532</v>
      </c>
      <c r="I29" s="56">
        <f t="shared" si="1"/>
        <v>-0.88124213176667965</v>
      </c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</row>
    <row r="30" spans="1:24" ht="18" customHeight="1">
      <c r="A30" s="115"/>
      <c r="B30" s="115"/>
      <c r="C30" s="62"/>
      <c r="D30" s="29" t="s">
        <v>30</v>
      </c>
      <c r="E30" s="29"/>
      <c r="F30" s="55">
        <v>33485</v>
      </c>
      <c r="G30" s="56">
        <f t="shared" si="2"/>
        <v>6.6081859804231131</v>
      </c>
      <c r="H30" s="55">
        <v>38058</v>
      </c>
      <c r="I30" s="56">
        <f t="shared" si="1"/>
        <v>-12.015870513426874</v>
      </c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</row>
    <row r="31" spans="1:24" ht="18" customHeight="1">
      <c r="A31" s="115"/>
      <c r="B31" s="115"/>
      <c r="C31" s="62"/>
      <c r="D31" s="29" t="s">
        <v>31</v>
      </c>
      <c r="E31" s="29"/>
      <c r="F31" s="55">
        <v>31032</v>
      </c>
      <c r="G31" s="56">
        <f t="shared" si="2"/>
        <v>6.1240922008209662</v>
      </c>
      <c r="H31" s="55">
        <v>29781</v>
      </c>
      <c r="I31" s="56">
        <f t="shared" si="1"/>
        <v>4.2006648534300473</v>
      </c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</row>
    <row r="32" spans="1:24" ht="18" customHeight="1">
      <c r="A32" s="115"/>
      <c r="B32" s="115"/>
      <c r="C32" s="62"/>
      <c r="D32" s="29" t="s">
        <v>14</v>
      </c>
      <c r="E32" s="29"/>
      <c r="F32" s="55">
        <v>9462</v>
      </c>
      <c r="G32" s="56">
        <f t="shared" si="2"/>
        <v>1.8673034417429746</v>
      </c>
      <c r="H32" s="55">
        <v>4803</v>
      </c>
      <c r="I32" s="56">
        <f t="shared" si="1"/>
        <v>97.001873828856972</v>
      </c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</row>
    <row r="33" spans="1:24" ht="18" customHeight="1">
      <c r="A33" s="115"/>
      <c r="B33" s="115"/>
      <c r="C33" s="61"/>
      <c r="D33" s="29" t="s">
        <v>32</v>
      </c>
      <c r="E33" s="29"/>
      <c r="F33" s="55">
        <v>13093</v>
      </c>
      <c r="G33" s="56">
        <f t="shared" si="2"/>
        <v>2.5838727502368171</v>
      </c>
      <c r="H33" s="55">
        <v>18613</v>
      </c>
      <c r="I33" s="56">
        <f t="shared" si="1"/>
        <v>-29.656691559662608</v>
      </c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</row>
    <row r="34" spans="1:24" ht="18" customHeight="1">
      <c r="A34" s="115"/>
      <c r="B34" s="115"/>
      <c r="C34" s="63" t="s">
        <v>15</v>
      </c>
      <c r="D34" s="29"/>
      <c r="E34" s="29"/>
      <c r="F34" s="55">
        <v>46843</v>
      </c>
      <c r="G34" s="56">
        <f t="shared" si="2"/>
        <v>9.2443558572781814</v>
      </c>
      <c r="H34" s="55">
        <v>62674</v>
      </c>
      <c r="I34" s="56">
        <f>(F34/H34-1)*100-0</f>
        <v>-25.259278169575904</v>
      </c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</row>
    <row r="35" spans="1:24" ht="18" customHeight="1">
      <c r="A35" s="115"/>
      <c r="B35" s="115"/>
      <c r="C35" s="62"/>
      <c r="D35" s="63" t="s">
        <v>16</v>
      </c>
      <c r="E35" s="29"/>
      <c r="F35" s="55">
        <v>46691</v>
      </c>
      <c r="G35" s="56">
        <f t="shared" si="2"/>
        <v>9.214359014840543</v>
      </c>
      <c r="H35" s="55">
        <v>62422</v>
      </c>
      <c r="I35" s="56">
        <f t="shared" si="1"/>
        <v>-25.201050911537603</v>
      </c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</row>
    <row r="36" spans="1:24" ht="18" customHeight="1">
      <c r="A36" s="115"/>
      <c r="B36" s="115"/>
      <c r="C36" s="62"/>
      <c r="D36" s="62"/>
      <c r="E36" s="57" t="s">
        <v>102</v>
      </c>
      <c r="F36" s="55">
        <v>17948</v>
      </c>
      <c r="G36" s="56">
        <f t="shared" si="2"/>
        <v>3.5419955794126934</v>
      </c>
      <c r="H36" s="55">
        <v>20914</v>
      </c>
      <c r="I36" s="56">
        <f t="shared" si="1"/>
        <v>-14.181887730706698</v>
      </c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</row>
    <row r="37" spans="1:24" ht="18" customHeight="1">
      <c r="A37" s="115"/>
      <c r="B37" s="115"/>
      <c r="C37" s="62"/>
      <c r="D37" s="61"/>
      <c r="E37" s="29" t="s">
        <v>33</v>
      </c>
      <c r="F37" s="55">
        <v>28597</v>
      </c>
      <c r="G37" s="56">
        <f t="shared" si="2"/>
        <v>5.6435506788759078</v>
      </c>
      <c r="H37" s="55">
        <v>41399</v>
      </c>
      <c r="I37" s="56">
        <f t="shared" si="1"/>
        <v>-30.923452257300898</v>
      </c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</row>
    <row r="38" spans="1:24" ht="18" customHeight="1">
      <c r="A38" s="115"/>
      <c r="B38" s="115"/>
      <c r="C38" s="62"/>
      <c r="D38" s="54" t="s">
        <v>34</v>
      </c>
      <c r="E38" s="54"/>
      <c r="F38" s="55">
        <v>152</v>
      </c>
      <c r="G38" s="56">
        <f t="shared" si="2"/>
        <v>2.9996842437638144E-2</v>
      </c>
      <c r="H38" s="55">
        <v>252</v>
      </c>
      <c r="I38" s="56">
        <f t="shared" si="1"/>
        <v>-39.682539682539684</v>
      </c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</row>
    <row r="39" spans="1:24" ht="18" customHeight="1">
      <c r="A39" s="115"/>
      <c r="B39" s="115"/>
      <c r="C39" s="61"/>
      <c r="D39" s="54" t="s">
        <v>35</v>
      </c>
      <c r="E39" s="54"/>
      <c r="F39" s="55">
        <v>0</v>
      </c>
      <c r="G39" s="56">
        <f t="shared" si="2"/>
        <v>0</v>
      </c>
      <c r="H39" s="55">
        <v>0</v>
      </c>
      <c r="I39" s="56">
        <v>0</v>
      </c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</row>
    <row r="40" spans="1:24" ht="18" customHeight="1">
      <c r="A40" s="115"/>
      <c r="B40" s="115"/>
      <c r="C40" s="29" t="s">
        <v>17</v>
      </c>
      <c r="D40" s="29"/>
      <c r="E40" s="29"/>
      <c r="F40" s="55">
        <f>SUM(F23,F27,F34)</f>
        <v>506720</v>
      </c>
      <c r="G40" s="56">
        <f t="shared" si="2"/>
        <v>100</v>
      </c>
      <c r="H40" s="55">
        <f>SUM(H23,H27,H34)-1</f>
        <v>527564</v>
      </c>
      <c r="I40" s="56">
        <f t="shared" si="1"/>
        <v>-3.9509898325132076</v>
      </c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</row>
    <row r="41" spans="1:24" ht="18" customHeight="1">
      <c r="A41" s="25" t="s">
        <v>18</v>
      </c>
    </row>
    <row r="42" spans="1:24" ht="18" customHeight="1">
      <c r="A42" s="26" t="s">
        <v>19</v>
      </c>
    </row>
  </sheetData>
  <mergeCells count="5">
    <mergeCell ref="B23:B40"/>
    <mergeCell ref="A9:A40"/>
    <mergeCell ref="B9:B22"/>
    <mergeCell ref="G6:I6"/>
    <mergeCell ref="A1:D1"/>
  </mergeCells>
  <phoneticPr fontId="15"/>
  <printOptions horizontalCentered="1" verticalCentered="1" gridLinesSet="0"/>
  <pageMargins left="0" right="0" top="0.43307086614173229" bottom="0.19685039370078741" header="0.19685039370078741" footer="0.31496062992125984"/>
  <pageSetup paperSize="9" orientation="portrait" useFirstPageNumber="1" horizontalDpi="4294967292" r:id="rId1"/>
  <headerFooter alignWithMargins="0">
    <oddHeader>&amp;R&amp;"明朝,斜体"&amp;9指定都市－3-1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view="pageBreakPreview" zoomScale="85" zoomScaleNormal="100" zoomScaleSheetLayoutView="85" workbookViewId="0">
      <pane xSplit="4" ySplit="6" topLeftCell="E7" activePane="bottomRight" state="frozen"/>
      <selection activeCell="I16" sqref="I16"/>
      <selection pane="topRight" activeCell="I16" sqref="I16"/>
      <selection pane="bottomLeft" activeCell="I16" sqref="I16"/>
      <selection pane="bottomRight" activeCell="G3" sqref="G3"/>
    </sheetView>
  </sheetViews>
  <sheetFormatPr defaultColWidth="9" defaultRowHeight="13"/>
  <cols>
    <col min="1" max="1" width="5.36328125" style="1" customWidth="1"/>
    <col min="2" max="2" width="3.08984375" style="1" customWidth="1"/>
    <col min="3" max="3" width="34.7265625" style="1" customWidth="1"/>
    <col min="4" max="9" width="11.90625" style="1" customWidth="1"/>
    <col min="10" max="16384" width="9" style="1"/>
  </cols>
  <sheetData>
    <row r="1" spans="1:9" ht="34" customHeight="1">
      <c r="A1" s="35" t="s">
        <v>0</v>
      </c>
      <c r="B1" s="35"/>
      <c r="C1" s="99" t="s">
        <v>254</v>
      </c>
      <c r="D1" s="36"/>
      <c r="E1" s="36"/>
    </row>
    <row r="4" spans="1:9">
      <c r="A4" s="9" t="s">
        <v>107</v>
      </c>
    </row>
    <row r="5" spans="1:9">
      <c r="I5" s="37" t="s">
        <v>108</v>
      </c>
    </row>
    <row r="6" spans="1:9" s="31" customFormat="1" ht="29.25" customHeight="1">
      <c r="A6" s="69" t="s">
        <v>109</v>
      </c>
      <c r="B6" s="50"/>
      <c r="C6" s="50"/>
      <c r="D6" s="50"/>
      <c r="E6" s="27" t="s">
        <v>226</v>
      </c>
      <c r="F6" s="27" t="s">
        <v>227</v>
      </c>
      <c r="G6" s="27" t="s">
        <v>230</v>
      </c>
      <c r="H6" s="27" t="s">
        <v>232</v>
      </c>
      <c r="I6" s="27" t="s">
        <v>239</v>
      </c>
    </row>
    <row r="7" spans="1:9" ht="27" customHeight="1">
      <c r="A7" s="115" t="s">
        <v>110</v>
      </c>
      <c r="B7" s="60" t="s">
        <v>111</v>
      </c>
      <c r="C7" s="54"/>
      <c r="D7" s="64" t="s">
        <v>112</v>
      </c>
      <c r="E7" s="27">
        <v>463263</v>
      </c>
      <c r="F7" s="27">
        <v>582080</v>
      </c>
      <c r="G7" s="27">
        <v>514381</v>
      </c>
      <c r="H7" s="27">
        <v>534983</v>
      </c>
      <c r="I7" s="27">
        <v>511176</v>
      </c>
    </row>
    <row r="8" spans="1:9" ht="27" customHeight="1">
      <c r="A8" s="115"/>
      <c r="B8" s="81"/>
      <c r="C8" s="54" t="s">
        <v>113</v>
      </c>
      <c r="D8" s="64" t="s">
        <v>37</v>
      </c>
      <c r="E8" s="70">
        <v>247252</v>
      </c>
      <c r="F8" s="70">
        <v>293617</v>
      </c>
      <c r="G8" s="100">
        <v>301677</v>
      </c>
      <c r="H8" s="71">
        <v>302855</v>
      </c>
      <c r="I8" s="71">
        <v>317351</v>
      </c>
    </row>
    <row r="9" spans="1:9" ht="27" customHeight="1">
      <c r="A9" s="115"/>
      <c r="B9" s="54" t="s">
        <v>114</v>
      </c>
      <c r="C9" s="54"/>
      <c r="D9" s="64"/>
      <c r="E9" s="70">
        <v>456068</v>
      </c>
      <c r="F9" s="70">
        <v>575225</v>
      </c>
      <c r="G9" s="72">
        <v>507598</v>
      </c>
      <c r="H9" s="72">
        <v>527564</v>
      </c>
      <c r="I9" s="72">
        <v>506720</v>
      </c>
    </row>
    <row r="10" spans="1:9" ht="27" customHeight="1">
      <c r="A10" s="115"/>
      <c r="B10" s="54" t="s">
        <v>115</v>
      </c>
      <c r="C10" s="54"/>
      <c r="D10" s="64"/>
      <c r="E10" s="70">
        <v>7195</v>
      </c>
      <c r="F10" s="70">
        <v>6854</v>
      </c>
      <c r="G10" s="72">
        <v>6784</v>
      </c>
      <c r="H10" s="72">
        <v>7419</v>
      </c>
      <c r="I10" s="72">
        <f>I7-I9</f>
        <v>4456</v>
      </c>
    </row>
    <row r="11" spans="1:9" ht="27" customHeight="1">
      <c r="A11" s="115"/>
      <c r="B11" s="54" t="s">
        <v>116</v>
      </c>
      <c r="C11" s="54"/>
      <c r="D11" s="64"/>
      <c r="E11" s="70">
        <v>1357</v>
      </c>
      <c r="F11" s="70">
        <v>1133</v>
      </c>
      <c r="G11" s="72">
        <v>3806</v>
      </c>
      <c r="H11" s="72">
        <v>1855</v>
      </c>
      <c r="I11" s="72">
        <v>1607</v>
      </c>
    </row>
    <row r="12" spans="1:9" ht="27" customHeight="1">
      <c r="A12" s="115"/>
      <c r="B12" s="54" t="s">
        <v>117</v>
      </c>
      <c r="C12" s="54"/>
      <c r="D12" s="64"/>
      <c r="E12" s="70">
        <v>5839</v>
      </c>
      <c r="F12" s="70">
        <v>5721</v>
      </c>
      <c r="G12" s="72">
        <v>2978</v>
      </c>
      <c r="H12" s="72">
        <v>5564</v>
      </c>
      <c r="I12" s="72">
        <f>I10-I11</f>
        <v>2849</v>
      </c>
    </row>
    <row r="13" spans="1:9" ht="27" customHeight="1">
      <c r="A13" s="115"/>
      <c r="B13" s="54" t="s">
        <v>118</v>
      </c>
      <c r="C13" s="54"/>
      <c r="D13" s="64"/>
      <c r="E13" s="70">
        <v>3393</v>
      </c>
      <c r="F13" s="70">
        <v>-118</v>
      </c>
      <c r="G13" s="72">
        <v>-2743</v>
      </c>
      <c r="H13" s="72">
        <v>2587</v>
      </c>
      <c r="I13" s="72">
        <v>-2175</v>
      </c>
    </row>
    <row r="14" spans="1:9" ht="27" customHeight="1">
      <c r="A14" s="115"/>
      <c r="B14" s="54" t="s">
        <v>119</v>
      </c>
      <c r="C14" s="54"/>
      <c r="D14" s="64"/>
      <c r="E14" s="70">
        <v>0</v>
      </c>
      <c r="F14" s="70">
        <v>0</v>
      </c>
      <c r="G14" s="70">
        <v>0</v>
      </c>
      <c r="H14" s="72">
        <v>0</v>
      </c>
      <c r="I14" s="72">
        <v>0</v>
      </c>
    </row>
    <row r="15" spans="1:9" ht="27" customHeight="1">
      <c r="A15" s="115"/>
      <c r="B15" s="54" t="s">
        <v>120</v>
      </c>
      <c r="C15" s="54"/>
      <c r="D15" s="64"/>
      <c r="E15" s="70">
        <v>4702</v>
      </c>
      <c r="F15" s="70">
        <v>3764</v>
      </c>
      <c r="G15" s="72">
        <v>3405</v>
      </c>
      <c r="H15" s="72">
        <v>664</v>
      </c>
      <c r="I15" s="72">
        <v>-4827</v>
      </c>
    </row>
    <row r="16" spans="1:9" ht="27" customHeight="1">
      <c r="A16" s="115"/>
      <c r="B16" s="54" t="s">
        <v>121</v>
      </c>
      <c r="C16" s="54"/>
      <c r="D16" s="64" t="s">
        <v>38</v>
      </c>
      <c r="E16" s="70">
        <v>21502</v>
      </c>
      <c r="F16" s="70">
        <v>24286</v>
      </c>
      <c r="G16" s="72">
        <v>29950</v>
      </c>
      <c r="H16" s="72">
        <v>27412</v>
      </c>
      <c r="I16" s="72">
        <v>29380</v>
      </c>
    </row>
    <row r="17" spans="1:9" ht="27" customHeight="1">
      <c r="A17" s="115"/>
      <c r="B17" s="54" t="s">
        <v>122</v>
      </c>
      <c r="C17" s="54"/>
      <c r="D17" s="64" t="s">
        <v>39</v>
      </c>
      <c r="E17" s="70">
        <v>198713</v>
      </c>
      <c r="F17" s="70">
        <v>211424</v>
      </c>
      <c r="G17" s="72">
        <v>201860</v>
      </c>
      <c r="H17" s="72">
        <v>188796</v>
      </c>
      <c r="I17" s="72">
        <v>198119</v>
      </c>
    </row>
    <row r="18" spans="1:9" ht="27" customHeight="1">
      <c r="A18" s="115"/>
      <c r="B18" s="54" t="s">
        <v>123</v>
      </c>
      <c r="C18" s="54"/>
      <c r="D18" s="64" t="s">
        <v>40</v>
      </c>
      <c r="E18" s="70">
        <v>695651</v>
      </c>
      <c r="F18" s="70">
        <v>699160</v>
      </c>
      <c r="G18" s="72">
        <v>696843</v>
      </c>
      <c r="H18" s="72">
        <v>706396</v>
      </c>
      <c r="I18" s="72">
        <v>698393</v>
      </c>
    </row>
    <row r="19" spans="1:9" ht="27" customHeight="1">
      <c r="A19" s="115"/>
      <c r="B19" s="54" t="s">
        <v>124</v>
      </c>
      <c r="C19" s="54"/>
      <c r="D19" s="64" t="s">
        <v>125</v>
      </c>
      <c r="E19" s="70">
        <f>E17+E18-E16</f>
        <v>872862</v>
      </c>
      <c r="F19" s="70">
        <f>F17+F18-F16</f>
        <v>886298</v>
      </c>
      <c r="G19" s="70">
        <f>G17+G18-G16</f>
        <v>868753</v>
      </c>
      <c r="H19" s="70">
        <f>H17+H18-H16</f>
        <v>867780</v>
      </c>
      <c r="I19" s="70">
        <f>I17+I18-I16</f>
        <v>867132</v>
      </c>
    </row>
    <row r="20" spans="1:9" ht="27" customHeight="1">
      <c r="A20" s="115"/>
      <c r="B20" s="54" t="s">
        <v>126</v>
      </c>
      <c r="C20" s="54"/>
      <c r="D20" s="64" t="s">
        <v>127</v>
      </c>
      <c r="E20" s="73">
        <f>E18/E8</f>
        <v>2.8135303253360942</v>
      </c>
      <c r="F20" s="73">
        <f>F18/F8</f>
        <v>2.3811972739998026</v>
      </c>
      <c r="G20" s="73">
        <f>G18/G8</f>
        <v>2.3098976720134448</v>
      </c>
      <c r="H20" s="73">
        <f>H18/H8</f>
        <v>2.332456125868815</v>
      </c>
      <c r="I20" s="73">
        <f>I18/I8</f>
        <v>2.2006957595848129</v>
      </c>
    </row>
    <row r="21" spans="1:9" ht="27" customHeight="1">
      <c r="A21" s="115"/>
      <c r="B21" s="54" t="s">
        <v>128</v>
      </c>
      <c r="C21" s="54"/>
      <c r="D21" s="64" t="s">
        <v>129</v>
      </c>
      <c r="E21" s="73">
        <f>E19/E8</f>
        <v>3.5302525358743306</v>
      </c>
      <c r="F21" s="73">
        <f>F19/F8</f>
        <v>3.0185513781558968</v>
      </c>
      <c r="G21" s="73">
        <f>G19/G8</f>
        <v>2.8797455556770983</v>
      </c>
      <c r="H21" s="73">
        <f>H19/H8</f>
        <v>2.8653315943273183</v>
      </c>
      <c r="I21" s="73">
        <f>I19/I8</f>
        <v>2.732406704248608</v>
      </c>
    </row>
    <row r="22" spans="1:9" ht="27" customHeight="1">
      <c r="A22" s="115"/>
      <c r="B22" s="54" t="s">
        <v>130</v>
      </c>
      <c r="C22" s="54"/>
      <c r="D22" s="64" t="s">
        <v>131</v>
      </c>
      <c r="E22" s="70">
        <f>E18/E24*1000000</f>
        <v>715777.22398398153</v>
      </c>
      <c r="F22" s="70">
        <f>F18/F24*1000000</f>
        <v>717123.21952590439</v>
      </c>
      <c r="G22" s="70">
        <f>G18/G24*1000000</f>
        <v>714746.68983364291</v>
      </c>
      <c r="H22" s="70">
        <f>H18/H24*1000000</f>
        <v>724545.13098607014</v>
      </c>
      <c r="I22" s="70">
        <f>I18/I24*1000000</f>
        <v>716336.51332220796</v>
      </c>
    </row>
    <row r="23" spans="1:9" ht="27" customHeight="1">
      <c r="A23" s="115"/>
      <c r="B23" s="54" t="s">
        <v>132</v>
      </c>
      <c r="C23" s="54"/>
      <c r="D23" s="64" t="s">
        <v>133</v>
      </c>
      <c r="E23" s="70">
        <f>E19/E24*1000000</f>
        <v>898115.20328599564</v>
      </c>
      <c r="F23" s="70">
        <f>F19/F24*1000000</f>
        <v>909069.27630209108</v>
      </c>
      <c r="G23" s="70">
        <f>G19/G24*1000000</f>
        <v>891073.50010410778</v>
      </c>
      <c r="H23" s="70">
        <f>H19/H24*1000000</f>
        <v>890075.50123031822</v>
      </c>
      <c r="I23" s="70">
        <f>I19/I24*1000000</f>
        <v>889410.8524428407</v>
      </c>
    </row>
    <row r="24" spans="1:9" ht="27" customHeight="1">
      <c r="A24" s="115"/>
      <c r="B24" s="74" t="s">
        <v>134</v>
      </c>
      <c r="C24" s="75"/>
      <c r="D24" s="64" t="s">
        <v>135</v>
      </c>
      <c r="E24" s="70">
        <v>971882</v>
      </c>
      <c r="F24" s="70">
        <v>974951</v>
      </c>
      <c r="G24" s="70">
        <f>F24</f>
        <v>974951</v>
      </c>
      <c r="H24" s="72">
        <f>F24</f>
        <v>974951</v>
      </c>
      <c r="I24" s="72">
        <f>G24</f>
        <v>974951</v>
      </c>
    </row>
    <row r="25" spans="1:9" ht="27" customHeight="1">
      <c r="A25" s="115"/>
      <c r="B25" s="29" t="s">
        <v>136</v>
      </c>
      <c r="C25" s="29"/>
      <c r="D25" s="29"/>
      <c r="E25" s="70">
        <v>247107</v>
      </c>
      <c r="F25" s="70">
        <v>254977</v>
      </c>
      <c r="G25" s="65">
        <v>266136</v>
      </c>
      <c r="H25" s="65">
        <v>258821</v>
      </c>
      <c r="I25" s="65">
        <v>264255</v>
      </c>
    </row>
    <row r="26" spans="1:9" ht="27" customHeight="1">
      <c r="A26" s="115"/>
      <c r="B26" s="29" t="s">
        <v>137</v>
      </c>
      <c r="C26" s="29"/>
      <c r="D26" s="29"/>
      <c r="E26" s="76">
        <v>0.93100000000000005</v>
      </c>
      <c r="F26" s="76">
        <v>0.93200000000000005</v>
      </c>
      <c r="G26" s="77">
        <v>0.91400000000000003</v>
      </c>
      <c r="H26" s="77">
        <v>0.90500000000000003</v>
      </c>
      <c r="I26" s="77">
        <v>0.88800000000000001</v>
      </c>
    </row>
    <row r="27" spans="1:9" ht="27" customHeight="1">
      <c r="A27" s="115"/>
      <c r="B27" s="29" t="s">
        <v>138</v>
      </c>
      <c r="C27" s="29"/>
      <c r="D27" s="29"/>
      <c r="E27" s="78">
        <v>2.4</v>
      </c>
      <c r="F27" s="78">
        <v>2.2000000000000002</v>
      </c>
      <c r="G27" s="79">
        <v>1.1000000000000001</v>
      </c>
      <c r="H27" s="79">
        <v>2.1</v>
      </c>
      <c r="I27" s="79">
        <v>1.1000000000000001</v>
      </c>
    </row>
    <row r="28" spans="1:9" ht="27" customHeight="1">
      <c r="A28" s="115"/>
      <c r="B28" s="29" t="s">
        <v>139</v>
      </c>
      <c r="C28" s="29"/>
      <c r="D28" s="29"/>
      <c r="E28" s="78">
        <v>98.5</v>
      </c>
      <c r="F28" s="78">
        <v>97.8</v>
      </c>
      <c r="G28" s="79">
        <v>95.7</v>
      </c>
      <c r="H28" s="79">
        <v>98.1</v>
      </c>
      <c r="I28" s="79">
        <v>98.4</v>
      </c>
    </row>
    <row r="29" spans="1:9" ht="27" customHeight="1">
      <c r="A29" s="115"/>
      <c r="B29" s="29" t="s">
        <v>140</v>
      </c>
      <c r="C29" s="29"/>
      <c r="D29" s="29"/>
      <c r="E29" s="78">
        <v>58</v>
      </c>
      <c r="F29" s="78">
        <v>45.6</v>
      </c>
      <c r="G29" s="101">
        <v>49</v>
      </c>
      <c r="H29" s="79">
        <v>49.3</v>
      </c>
      <c r="I29" s="79">
        <v>51.5</v>
      </c>
    </row>
    <row r="30" spans="1:9" ht="27" customHeight="1">
      <c r="A30" s="115"/>
      <c r="B30" s="115" t="s">
        <v>141</v>
      </c>
      <c r="C30" s="29" t="s">
        <v>142</v>
      </c>
      <c r="D30" s="29"/>
      <c r="E30" s="78">
        <v>0</v>
      </c>
      <c r="F30" s="78">
        <v>0</v>
      </c>
      <c r="G30" s="79">
        <v>0</v>
      </c>
      <c r="H30" s="79">
        <v>0</v>
      </c>
      <c r="I30" s="109">
        <v>0</v>
      </c>
    </row>
    <row r="31" spans="1:9" ht="27" customHeight="1">
      <c r="A31" s="115"/>
      <c r="B31" s="115"/>
      <c r="C31" s="29" t="s">
        <v>143</v>
      </c>
      <c r="D31" s="29"/>
      <c r="E31" s="78">
        <v>0</v>
      </c>
      <c r="F31" s="78">
        <v>0</v>
      </c>
      <c r="G31" s="79">
        <v>0</v>
      </c>
      <c r="H31" s="79">
        <v>0</v>
      </c>
      <c r="I31" s="79">
        <v>0</v>
      </c>
    </row>
    <row r="32" spans="1:9" ht="27" customHeight="1">
      <c r="A32" s="115"/>
      <c r="B32" s="115"/>
      <c r="C32" s="29" t="s">
        <v>144</v>
      </c>
      <c r="D32" s="29"/>
      <c r="E32" s="78">
        <v>12.9</v>
      </c>
      <c r="F32" s="78">
        <v>11.8</v>
      </c>
      <c r="G32" s="79">
        <v>11.2</v>
      </c>
      <c r="H32" s="79">
        <v>10.6</v>
      </c>
      <c r="I32" s="79">
        <v>10.7</v>
      </c>
    </row>
    <row r="33" spans="1:9" ht="27" customHeight="1">
      <c r="A33" s="115"/>
      <c r="B33" s="115"/>
      <c r="C33" s="29" t="s">
        <v>145</v>
      </c>
      <c r="D33" s="29"/>
      <c r="E33" s="78">
        <v>138.30000000000001</v>
      </c>
      <c r="F33" s="78">
        <v>128.80000000000001</v>
      </c>
      <c r="G33" s="80">
        <v>116</v>
      </c>
      <c r="H33" s="80">
        <v>125</v>
      </c>
      <c r="I33" s="80">
        <v>122.4</v>
      </c>
    </row>
    <row r="34" spans="1:9" ht="27" customHeight="1">
      <c r="A34" s="1" t="s">
        <v>243</v>
      </c>
      <c r="E34" s="38"/>
      <c r="F34" s="38"/>
      <c r="G34" s="38"/>
      <c r="H34" s="38"/>
      <c r="I34" s="39"/>
    </row>
    <row r="35" spans="1:9" ht="27" customHeight="1">
      <c r="A35" s="11" t="s">
        <v>146</v>
      </c>
    </row>
    <row r="36" spans="1:9">
      <c r="A36" s="40"/>
    </row>
  </sheetData>
  <mergeCells count="2">
    <mergeCell ref="A7:A33"/>
    <mergeCell ref="B30:B33"/>
  </mergeCells>
  <phoneticPr fontId="15"/>
  <pageMargins left="0.31496062992125984" right="0.19685039370078741" top="0.98425196850393704" bottom="0.98425196850393704" header="0.51181102362204722" footer="0.51181102362204722"/>
  <pageSetup paperSize="9" scale="82" firstPageNumber="2" orientation="portrait" useFirstPageNumber="1" horizontalDpi="4294967292" r:id="rId1"/>
  <headerFooter alignWithMargins="0">
    <oddHeader>&amp;R&amp;"明朝,斜体"&amp;9指定都市－3-2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50"/>
  <sheetViews>
    <sheetView view="pageBreakPreview" zoomScaleNormal="100" zoomScaleSheetLayoutView="100" workbookViewId="0">
      <pane xSplit="5" ySplit="7" topLeftCell="F8" activePane="bottomRight" state="frozen"/>
      <selection activeCell="I16" sqref="I16"/>
      <selection pane="topRight" activeCell="I16" sqref="I16"/>
      <selection pane="bottomLeft" activeCell="I16" sqref="I16"/>
      <selection pane="bottomRight" activeCell="I9" sqref="I9"/>
    </sheetView>
  </sheetViews>
  <sheetFormatPr defaultColWidth="9" defaultRowHeight="13"/>
  <cols>
    <col min="1" max="1" width="3.6328125" style="1" customWidth="1"/>
    <col min="2" max="3" width="1.6328125" style="1" customWidth="1"/>
    <col min="4" max="4" width="22.6328125" style="1" customWidth="1"/>
    <col min="5" max="5" width="10.6328125" style="1" customWidth="1"/>
    <col min="6" max="21" width="13.6328125" style="1" customWidth="1"/>
    <col min="22" max="25" width="12" style="1" customWidth="1"/>
    <col min="26" max="16384" width="9" style="1"/>
  </cols>
  <sheetData>
    <row r="1" spans="1:25" ht="34" customHeight="1">
      <c r="A1" s="17" t="s">
        <v>0</v>
      </c>
      <c r="B1" s="13"/>
      <c r="C1" s="13"/>
      <c r="D1" s="102" t="s">
        <v>254</v>
      </c>
      <c r="E1" s="14"/>
      <c r="F1" s="14"/>
      <c r="G1" s="14"/>
    </row>
    <row r="2" spans="1:25" ht="15" customHeight="1"/>
    <row r="3" spans="1:25" ht="15" customHeight="1">
      <c r="A3" s="15" t="s">
        <v>147</v>
      </c>
      <c r="B3" s="15"/>
      <c r="C3" s="15"/>
      <c r="D3" s="15"/>
    </row>
    <row r="4" spans="1:25" ht="15" customHeight="1">
      <c r="A4" s="15"/>
      <c r="B4" s="15"/>
      <c r="C4" s="15"/>
      <c r="D4" s="15"/>
    </row>
    <row r="5" spans="1:25" ht="16" customHeight="1">
      <c r="A5" s="12" t="s">
        <v>240</v>
      </c>
      <c r="B5" s="12"/>
      <c r="C5" s="12"/>
      <c r="D5" s="12"/>
      <c r="K5" s="16"/>
      <c r="O5" s="16" t="s">
        <v>43</v>
      </c>
    </row>
    <row r="6" spans="1:25" ht="16" customHeight="1">
      <c r="A6" s="123" t="s">
        <v>44</v>
      </c>
      <c r="B6" s="122"/>
      <c r="C6" s="122"/>
      <c r="D6" s="122"/>
      <c r="E6" s="122"/>
      <c r="F6" s="130" t="s">
        <v>255</v>
      </c>
      <c r="G6" s="130"/>
      <c r="H6" s="130" t="s">
        <v>256</v>
      </c>
      <c r="I6" s="130"/>
      <c r="J6" s="130" t="s">
        <v>257</v>
      </c>
      <c r="K6" s="130"/>
      <c r="L6" s="130"/>
      <c r="M6" s="130"/>
      <c r="N6" s="130"/>
      <c r="O6" s="130"/>
    </row>
    <row r="7" spans="1:25" ht="16" customHeight="1">
      <c r="A7" s="122"/>
      <c r="B7" s="122"/>
      <c r="C7" s="122"/>
      <c r="D7" s="122"/>
      <c r="E7" s="122"/>
      <c r="F7" s="52" t="s">
        <v>258</v>
      </c>
      <c r="G7" s="52" t="s">
        <v>259</v>
      </c>
      <c r="H7" s="52" t="s">
        <v>258</v>
      </c>
      <c r="I7" s="52" t="s">
        <v>259</v>
      </c>
      <c r="J7" s="52" t="s">
        <v>258</v>
      </c>
      <c r="K7" s="52" t="s">
        <v>259</v>
      </c>
      <c r="L7" s="52" t="s">
        <v>237</v>
      </c>
      <c r="M7" s="52" t="s">
        <v>238</v>
      </c>
      <c r="N7" s="52" t="s">
        <v>237</v>
      </c>
      <c r="O7" s="52" t="s">
        <v>238</v>
      </c>
    </row>
    <row r="8" spans="1:25" ht="16" customHeight="1">
      <c r="A8" s="120" t="s">
        <v>83</v>
      </c>
      <c r="B8" s="60" t="s">
        <v>45</v>
      </c>
      <c r="C8" s="54"/>
      <c r="D8" s="54"/>
      <c r="E8" s="64" t="s">
        <v>36</v>
      </c>
      <c r="F8" s="85">
        <v>2054</v>
      </c>
      <c r="G8" s="89">
        <f>1984599/1000</f>
        <v>1984.5989999999999</v>
      </c>
      <c r="H8" s="85">
        <v>23237</v>
      </c>
      <c r="I8" s="90">
        <f>ROUND(24302296/1000,0)</f>
        <v>24302</v>
      </c>
      <c r="J8" s="85">
        <v>30095</v>
      </c>
      <c r="K8" s="65">
        <v>30274</v>
      </c>
      <c r="L8" s="65"/>
      <c r="M8" s="65"/>
      <c r="N8" s="65"/>
      <c r="O8" s="65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ht="16" customHeight="1">
      <c r="A9" s="120"/>
      <c r="B9" s="62"/>
      <c r="C9" s="54" t="s">
        <v>46</v>
      </c>
      <c r="D9" s="54"/>
      <c r="E9" s="64" t="s">
        <v>37</v>
      </c>
      <c r="F9" s="85">
        <v>2012</v>
      </c>
      <c r="G9" s="89">
        <f>1958748/1000</f>
        <v>1958.748</v>
      </c>
      <c r="H9" s="85">
        <v>23174</v>
      </c>
      <c r="I9" s="90">
        <f>ROUND((16997350+7281411)/1000,0)</f>
        <v>24279</v>
      </c>
      <c r="J9" s="85">
        <v>29837</v>
      </c>
      <c r="K9" s="65">
        <v>29984</v>
      </c>
      <c r="L9" s="65"/>
      <c r="M9" s="65"/>
      <c r="N9" s="65"/>
      <c r="O9" s="65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pans="1:25" ht="16" customHeight="1">
      <c r="A10" s="120"/>
      <c r="B10" s="61"/>
      <c r="C10" s="54" t="s">
        <v>47</v>
      </c>
      <c r="D10" s="54"/>
      <c r="E10" s="64" t="s">
        <v>38</v>
      </c>
      <c r="F10" s="85">
        <v>42</v>
      </c>
      <c r="G10" s="89">
        <v>25.850999999999999</v>
      </c>
      <c r="H10" s="85">
        <v>63</v>
      </c>
      <c r="I10" s="90">
        <f>ROUND(23534/1000,0)-1</f>
        <v>23</v>
      </c>
      <c r="J10" s="66">
        <v>258</v>
      </c>
      <c r="K10" s="66">
        <v>290</v>
      </c>
      <c r="L10" s="65"/>
      <c r="M10" s="65"/>
      <c r="N10" s="65"/>
      <c r="O10" s="65"/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spans="1:25" ht="16" customHeight="1">
      <c r="A11" s="120"/>
      <c r="B11" s="60" t="s">
        <v>48</v>
      </c>
      <c r="C11" s="54"/>
      <c r="D11" s="54"/>
      <c r="E11" s="64" t="s">
        <v>39</v>
      </c>
      <c r="F11" s="85">
        <v>2054</v>
      </c>
      <c r="G11" s="89">
        <f>1984599/1000</f>
        <v>1984.5989999999999</v>
      </c>
      <c r="H11" s="85">
        <v>23879</v>
      </c>
      <c r="I11" s="90">
        <f>ROUND(22673085/1000,0)</f>
        <v>22673</v>
      </c>
      <c r="J11" s="85">
        <v>28784</v>
      </c>
      <c r="K11" s="65">
        <v>28701</v>
      </c>
      <c r="L11" s="65"/>
      <c r="M11" s="65"/>
      <c r="N11" s="65"/>
      <c r="O11" s="65"/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spans="1:25" ht="16" customHeight="1">
      <c r="A12" s="120"/>
      <c r="B12" s="62"/>
      <c r="C12" s="54" t="s">
        <v>49</v>
      </c>
      <c r="D12" s="54"/>
      <c r="E12" s="64" t="s">
        <v>40</v>
      </c>
      <c r="F12" s="85">
        <v>2003</v>
      </c>
      <c r="G12" s="89">
        <f>1984543/1000</f>
        <v>1984.5429999999999</v>
      </c>
      <c r="H12" s="85">
        <v>23743</v>
      </c>
      <c r="I12" s="90">
        <f>ROUND((21207086+1261569)/1000,0)</f>
        <v>22469</v>
      </c>
      <c r="J12" s="85">
        <v>28460</v>
      </c>
      <c r="K12" s="65">
        <v>28665</v>
      </c>
      <c r="L12" s="65"/>
      <c r="M12" s="65"/>
      <c r="N12" s="65"/>
      <c r="O12" s="65"/>
      <c r="P12" s="18"/>
      <c r="Q12" s="18"/>
      <c r="R12" s="18"/>
      <c r="S12" s="18"/>
      <c r="T12" s="18"/>
      <c r="U12" s="18"/>
      <c r="V12" s="18"/>
      <c r="W12" s="18"/>
      <c r="X12" s="18"/>
      <c r="Y12" s="18"/>
    </row>
    <row r="13" spans="1:25" ht="16" customHeight="1">
      <c r="A13" s="120"/>
      <c r="B13" s="61"/>
      <c r="C13" s="54" t="s">
        <v>50</v>
      </c>
      <c r="D13" s="54"/>
      <c r="E13" s="64" t="s">
        <v>41</v>
      </c>
      <c r="F13" s="85">
        <v>51</v>
      </c>
      <c r="G13" s="89">
        <v>56</v>
      </c>
      <c r="H13" s="66">
        <v>136</v>
      </c>
      <c r="I13" s="91">
        <v>204</v>
      </c>
      <c r="J13" s="66">
        <v>324</v>
      </c>
      <c r="K13" s="66">
        <v>36</v>
      </c>
      <c r="L13" s="65"/>
      <c r="M13" s="65"/>
      <c r="N13" s="65"/>
      <c r="O13" s="65"/>
      <c r="P13" s="18"/>
      <c r="Q13" s="18"/>
      <c r="R13" s="18"/>
      <c r="S13" s="18"/>
      <c r="T13" s="18"/>
      <c r="U13" s="18"/>
      <c r="V13" s="18"/>
      <c r="W13" s="18"/>
      <c r="X13" s="18"/>
      <c r="Y13" s="18"/>
    </row>
    <row r="14" spans="1:25" ht="16" customHeight="1">
      <c r="A14" s="120"/>
      <c r="B14" s="54" t="s">
        <v>51</v>
      </c>
      <c r="C14" s="54"/>
      <c r="D14" s="54"/>
      <c r="E14" s="64" t="s">
        <v>148</v>
      </c>
      <c r="F14" s="85">
        <f>F9-F12</f>
        <v>9</v>
      </c>
      <c r="G14" s="65">
        <f>G9-G12</f>
        <v>-25.794999999999845</v>
      </c>
      <c r="H14" s="85">
        <f t="shared" ref="H14:H15" si="0">H9-H12</f>
        <v>-569</v>
      </c>
      <c r="I14" s="90">
        <f>I9-I12</f>
        <v>1810</v>
      </c>
      <c r="J14" s="85">
        <f t="shared" ref="J14:J15" si="1">J9-J12</f>
        <v>1377</v>
      </c>
      <c r="K14" s="65">
        <f t="shared" ref="G14:K15" si="2">K9-K12</f>
        <v>1319</v>
      </c>
      <c r="L14" s="65">
        <f t="shared" ref="L14:O15" si="3">L9-L12</f>
        <v>0</v>
      </c>
      <c r="M14" s="65">
        <f t="shared" si="3"/>
        <v>0</v>
      </c>
      <c r="N14" s="65">
        <f t="shared" si="3"/>
        <v>0</v>
      </c>
      <c r="O14" s="65">
        <f t="shared" si="3"/>
        <v>0</v>
      </c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spans="1:25" ht="16" customHeight="1">
      <c r="A15" s="120"/>
      <c r="B15" s="54" t="s">
        <v>52</v>
      </c>
      <c r="C15" s="54"/>
      <c r="D15" s="54"/>
      <c r="E15" s="64" t="s">
        <v>149</v>
      </c>
      <c r="F15" s="85">
        <f t="shared" ref="F15" si="4">F10-F13</f>
        <v>-9</v>
      </c>
      <c r="G15" s="65">
        <f t="shared" si="2"/>
        <v>-30.149000000000001</v>
      </c>
      <c r="H15" s="85">
        <f t="shared" si="0"/>
        <v>-73</v>
      </c>
      <c r="I15" s="90">
        <f>I10-I13</f>
        <v>-181</v>
      </c>
      <c r="J15" s="85">
        <f t="shared" si="1"/>
        <v>-66</v>
      </c>
      <c r="K15" s="65">
        <f t="shared" si="2"/>
        <v>254</v>
      </c>
      <c r="L15" s="65">
        <f t="shared" si="3"/>
        <v>0</v>
      </c>
      <c r="M15" s="65">
        <f t="shared" si="3"/>
        <v>0</v>
      </c>
      <c r="N15" s="65">
        <f t="shared" si="3"/>
        <v>0</v>
      </c>
      <c r="O15" s="65">
        <f t="shared" si="3"/>
        <v>0</v>
      </c>
      <c r="P15" s="18"/>
      <c r="Q15" s="18"/>
      <c r="R15" s="18"/>
      <c r="S15" s="18"/>
      <c r="T15" s="18"/>
      <c r="U15" s="18"/>
      <c r="V15" s="18"/>
      <c r="W15" s="18"/>
      <c r="X15" s="18"/>
      <c r="Y15" s="18"/>
    </row>
    <row r="16" spans="1:25" ht="16" customHeight="1">
      <c r="A16" s="120"/>
      <c r="B16" s="54" t="s">
        <v>53</v>
      </c>
      <c r="C16" s="54"/>
      <c r="D16" s="54"/>
      <c r="E16" s="64" t="s">
        <v>150</v>
      </c>
      <c r="F16" s="85">
        <f t="shared" ref="F16" si="5">F8-F11</f>
        <v>0</v>
      </c>
      <c r="G16" s="65">
        <f t="shared" ref="G16:K16" si="6">G8-G11</f>
        <v>0</v>
      </c>
      <c r="H16" s="85">
        <f t="shared" si="6"/>
        <v>-642</v>
      </c>
      <c r="I16" s="90">
        <f>I8-I11</f>
        <v>1629</v>
      </c>
      <c r="J16" s="85">
        <f t="shared" ref="J16" si="7">J8-J11</f>
        <v>1311</v>
      </c>
      <c r="K16" s="65">
        <f t="shared" si="6"/>
        <v>1573</v>
      </c>
      <c r="L16" s="65">
        <f t="shared" ref="L16:O16" si="8">L8-L11</f>
        <v>0</v>
      </c>
      <c r="M16" s="65">
        <f t="shared" si="8"/>
        <v>0</v>
      </c>
      <c r="N16" s="65">
        <f t="shared" si="8"/>
        <v>0</v>
      </c>
      <c r="O16" s="65">
        <f t="shared" si="8"/>
        <v>0</v>
      </c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spans="1:25" ht="16" customHeight="1">
      <c r="A17" s="120"/>
      <c r="B17" s="54" t="s">
        <v>54</v>
      </c>
      <c r="C17" s="54"/>
      <c r="D17" s="54"/>
      <c r="E17" s="52"/>
      <c r="F17" s="66">
        <v>0</v>
      </c>
      <c r="G17" s="91">
        <v>0</v>
      </c>
      <c r="H17" s="66">
        <v>37190</v>
      </c>
      <c r="I17" s="91">
        <v>3077</v>
      </c>
      <c r="J17" s="85">
        <v>0</v>
      </c>
      <c r="K17" s="65">
        <v>0</v>
      </c>
      <c r="L17" s="65"/>
      <c r="M17" s="65"/>
      <c r="N17" s="66"/>
      <c r="O17" s="67"/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 spans="1:25" ht="16" customHeight="1">
      <c r="A18" s="120"/>
      <c r="B18" s="54" t="s">
        <v>55</v>
      </c>
      <c r="C18" s="54"/>
      <c r="D18" s="54"/>
      <c r="E18" s="52"/>
      <c r="F18" s="93">
        <v>0</v>
      </c>
      <c r="G18" s="97">
        <v>0</v>
      </c>
      <c r="H18" s="112" t="s">
        <v>268</v>
      </c>
      <c r="I18" s="103" t="s">
        <v>249</v>
      </c>
      <c r="J18" s="93">
        <v>0</v>
      </c>
      <c r="K18" s="67">
        <v>0</v>
      </c>
      <c r="L18" s="67"/>
      <c r="M18" s="67"/>
      <c r="N18" s="67"/>
      <c r="O18" s="67"/>
      <c r="P18" s="18"/>
      <c r="Q18" s="18"/>
      <c r="R18" s="18"/>
      <c r="S18" s="18"/>
      <c r="T18" s="18"/>
      <c r="U18" s="18"/>
      <c r="V18" s="18"/>
      <c r="W18" s="18"/>
      <c r="X18" s="18"/>
      <c r="Y18" s="18"/>
    </row>
    <row r="19" spans="1:25" ht="16" customHeight="1">
      <c r="A19" s="120" t="s">
        <v>84</v>
      </c>
      <c r="B19" s="60" t="s">
        <v>56</v>
      </c>
      <c r="C19" s="54"/>
      <c r="D19" s="54"/>
      <c r="E19" s="64"/>
      <c r="F19" s="85">
        <v>1218</v>
      </c>
      <c r="G19" s="104">
        <f>1556366/1000</f>
        <v>1556.366</v>
      </c>
      <c r="H19" s="85">
        <v>2702</v>
      </c>
      <c r="I19" s="90">
        <v>7330</v>
      </c>
      <c r="J19" s="85">
        <v>17066</v>
      </c>
      <c r="K19" s="65">
        <v>19672</v>
      </c>
      <c r="L19" s="65"/>
      <c r="M19" s="65"/>
      <c r="N19" s="65"/>
      <c r="O19" s="65"/>
      <c r="P19" s="18"/>
      <c r="Q19" s="18"/>
      <c r="R19" s="18"/>
      <c r="S19" s="18"/>
      <c r="T19" s="18"/>
      <c r="U19" s="18"/>
      <c r="V19" s="18"/>
      <c r="W19" s="18"/>
      <c r="X19" s="18"/>
      <c r="Y19" s="18"/>
    </row>
    <row r="20" spans="1:25" ht="16" customHeight="1">
      <c r="A20" s="120"/>
      <c r="B20" s="61"/>
      <c r="C20" s="54" t="s">
        <v>57</v>
      </c>
      <c r="D20" s="54"/>
      <c r="E20" s="64"/>
      <c r="F20" s="85">
        <v>434</v>
      </c>
      <c r="G20" s="104">
        <f>560000/1000</f>
        <v>560</v>
      </c>
      <c r="H20" s="85">
        <v>1233</v>
      </c>
      <c r="I20" s="90">
        <v>6022</v>
      </c>
      <c r="J20" s="85">
        <v>11265</v>
      </c>
      <c r="K20" s="65">
        <v>13212</v>
      </c>
      <c r="L20" s="65"/>
      <c r="M20" s="65"/>
      <c r="N20" s="65"/>
      <c r="O20" s="65"/>
      <c r="P20" s="18"/>
      <c r="Q20" s="18"/>
      <c r="R20" s="18"/>
      <c r="S20" s="18"/>
      <c r="T20" s="18"/>
      <c r="U20" s="18"/>
      <c r="V20" s="18"/>
      <c r="W20" s="18"/>
      <c r="X20" s="18"/>
      <c r="Y20" s="18"/>
    </row>
    <row r="21" spans="1:25" ht="16" customHeight="1">
      <c r="A21" s="120"/>
      <c r="B21" s="54" t="s">
        <v>58</v>
      </c>
      <c r="C21" s="54"/>
      <c r="D21" s="54"/>
      <c r="E21" s="64" t="s">
        <v>151</v>
      </c>
      <c r="F21" s="85">
        <v>1218</v>
      </c>
      <c r="G21" s="104">
        <f>1556366/1000</f>
        <v>1556.366</v>
      </c>
      <c r="H21" s="85">
        <v>2674</v>
      </c>
      <c r="I21" s="113">
        <v>7322</v>
      </c>
      <c r="J21" s="85">
        <v>17066</v>
      </c>
      <c r="K21" s="65">
        <v>19672</v>
      </c>
      <c r="L21" s="65"/>
      <c r="M21" s="65"/>
      <c r="N21" s="65"/>
      <c r="O21" s="65"/>
      <c r="P21" s="18"/>
      <c r="Q21" s="18"/>
      <c r="R21" s="18"/>
      <c r="S21" s="18"/>
      <c r="T21" s="18"/>
      <c r="U21" s="18"/>
      <c r="V21" s="18"/>
      <c r="W21" s="18"/>
      <c r="X21" s="18"/>
      <c r="Y21" s="18"/>
    </row>
    <row r="22" spans="1:25" ht="16" customHeight="1">
      <c r="A22" s="120"/>
      <c r="B22" s="60" t="s">
        <v>59</v>
      </c>
      <c r="C22" s="54"/>
      <c r="D22" s="54"/>
      <c r="E22" s="64" t="s">
        <v>152</v>
      </c>
      <c r="F22" s="85">
        <v>1741</v>
      </c>
      <c r="G22" s="104">
        <f>1997735/1000</f>
        <v>1997.7349999999999</v>
      </c>
      <c r="H22" s="85">
        <f>3720816341/1000000</f>
        <v>3720.8163410000002</v>
      </c>
      <c r="I22" s="90">
        <v>8199</v>
      </c>
      <c r="J22" s="85">
        <v>27194</v>
      </c>
      <c r="K22" s="65">
        <v>30471</v>
      </c>
      <c r="L22" s="65"/>
      <c r="M22" s="65"/>
      <c r="N22" s="65"/>
      <c r="O22" s="65"/>
      <c r="P22" s="18"/>
      <c r="Q22" s="18"/>
      <c r="R22" s="18"/>
      <c r="S22" s="18"/>
      <c r="T22" s="18"/>
      <c r="U22" s="18"/>
      <c r="V22" s="18"/>
      <c r="W22" s="18"/>
      <c r="X22" s="18"/>
      <c r="Y22" s="18"/>
    </row>
    <row r="23" spans="1:25" ht="16" customHeight="1">
      <c r="A23" s="120"/>
      <c r="B23" s="61" t="s">
        <v>60</v>
      </c>
      <c r="C23" s="54" t="s">
        <v>61</v>
      </c>
      <c r="D23" s="54"/>
      <c r="E23" s="64"/>
      <c r="F23" s="85">
        <v>989</v>
      </c>
      <c r="G23" s="104">
        <f>1081156/1000</f>
        <v>1081.1559999999999</v>
      </c>
      <c r="H23" s="85">
        <f>2021030200/1000000</f>
        <v>2021.0301999999999</v>
      </c>
      <c r="I23" s="90">
        <v>1937</v>
      </c>
      <c r="J23" s="85">
        <v>16837</v>
      </c>
      <c r="K23" s="65">
        <v>16990</v>
      </c>
      <c r="L23" s="65"/>
      <c r="M23" s="65"/>
      <c r="N23" s="65"/>
      <c r="O23" s="65"/>
      <c r="P23" s="18"/>
      <c r="Q23" s="18"/>
      <c r="R23" s="18"/>
      <c r="S23" s="18"/>
      <c r="T23" s="18"/>
      <c r="U23" s="18"/>
      <c r="V23" s="18"/>
      <c r="W23" s="18"/>
      <c r="X23" s="18"/>
      <c r="Y23" s="18"/>
    </row>
    <row r="24" spans="1:25" ht="16" customHeight="1">
      <c r="A24" s="120"/>
      <c r="B24" s="54" t="s">
        <v>153</v>
      </c>
      <c r="C24" s="54"/>
      <c r="D24" s="54"/>
      <c r="E24" s="64" t="s">
        <v>154</v>
      </c>
      <c r="F24" s="85">
        <f>F21-F22</f>
        <v>-523</v>
      </c>
      <c r="G24" s="65">
        <f>G21-G22</f>
        <v>-441.36899999999991</v>
      </c>
      <c r="H24" s="85">
        <f>H21-H22</f>
        <v>-1046.8163410000002</v>
      </c>
      <c r="I24" s="113">
        <f>I21-I22</f>
        <v>-877</v>
      </c>
      <c r="J24" s="85">
        <f t="shared" ref="J24" si="9">J21-J22</f>
        <v>-10128</v>
      </c>
      <c r="K24" s="65">
        <f t="shared" ref="K24" si="10">K21-K22</f>
        <v>-10799</v>
      </c>
      <c r="L24" s="65">
        <f t="shared" ref="L24:O24" si="11">L21-L22</f>
        <v>0</v>
      </c>
      <c r="M24" s="65">
        <f t="shared" si="11"/>
        <v>0</v>
      </c>
      <c r="N24" s="65">
        <f t="shared" si="11"/>
        <v>0</v>
      </c>
      <c r="O24" s="65">
        <f t="shared" si="11"/>
        <v>0</v>
      </c>
      <c r="P24" s="18"/>
      <c r="Q24" s="18"/>
      <c r="R24" s="18"/>
      <c r="S24" s="18"/>
      <c r="T24" s="18"/>
      <c r="U24" s="18"/>
      <c r="V24" s="18"/>
      <c r="W24" s="18"/>
      <c r="X24" s="18"/>
      <c r="Y24" s="18"/>
    </row>
    <row r="25" spans="1:25" ht="16" customHeight="1">
      <c r="A25" s="120"/>
      <c r="B25" s="60" t="s">
        <v>62</v>
      </c>
      <c r="C25" s="60"/>
      <c r="D25" s="60"/>
      <c r="E25" s="124" t="s">
        <v>155</v>
      </c>
      <c r="F25" s="126">
        <v>523</v>
      </c>
      <c r="G25" s="129">
        <f>441369/1000</f>
        <v>441.36900000000003</v>
      </c>
      <c r="H25" s="126">
        <v>1047</v>
      </c>
      <c r="I25" s="133">
        <v>877</v>
      </c>
      <c r="J25" s="126">
        <v>10128</v>
      </c>
      <c r="K25" s="132">
        <v>10799</v>
      </c>
      <c r="L25" s="132"/>
      <c r="M25" s="132"/>
      <c r="N25" s="132"/>
      <c r="O25" s="132"/>
      <c r="P25" s="18"/>
      <c r="Q25" s="18"/>
      <c r="R25" s="18"/>
      <c r="S25" s="18"/>
      <c r="T25" s="18"/>
      <c r="U25" s="18"/>
      <c r="V25" s="18"/>
      <c r="W25" s="18"/>
      <c r="X25" s="18"/>
      <c r="Y25" s="18"/>
    </row>
    <row r="26" spans="1:25" ht="16" customHeight="1">
      <c r="A26" s="120"/>
      <c r="B26" s="81" t="s">
        <v>63</v>
      </c>
      <c r="C26" s="81"/>
      <c r="D26" s="81"/>
      <c r="E26" s="125"/>
      <c r="F26" s="127"/>
      <c r="G26" s="119"/>
      <c r="H26" s="127"/>
      <c r="I26" s="134"/>
      <c r="J26" s="127"/>
      <c r="K26" s="127"/>
      <c r="L26" s="127"/>
      <c r="M26" s="127"/>
      <c r="N26" s="127"/>
      <c r="O26" s="127"/>
      <c r="P26" s="18"/>
      <c r="Q26" s="18"/>
      <c r="R26" s="18"/>
      <c r="S26" s="18"/>
      <c r="T26" s="18"/>
      <c r="U26" s="18"/>
      <c r="V26" s="18"/>
      <c r="W26" s="18"/>
      <c r="X26" s="18"/>
      <c r="Y26" s="18"/>
    </row>
    <row r="27" spans="1:25" ht="16" customHeight="1">
      <c r="A27" s="120"/>
      <c r="B27" s="54" t="s">
        <v>156</v>
      </c>
      <c r="C27" s="54"/>
      <c r="D27" s="54"/>
      <c r="E27" s="64" t="s">
        <v>157</v>
      </c>
      <c r="F27" s="85">
        <f t="shared" ref="F27:K27" si="12">F24+F25</f>
        <v>0</v>
      </c>
      <c r="G27" s="65">
        <f t="shared" si="12"/>
        <v>0</v>
      </c>
      <c r="H27" s="85">
        <f>H24+H25</f>
        <v>0.18365899999980684</v>
      </c>
      <c r="I27" s="90">
        <f t="shared" ref="I27" si="13">I24+I25</f>
        <v>0</v>
      </c>
      <c r="J27" s="85">
        <f t="shared" si="12"/>
        <v>0</v>
      </c>
      <c r="K27" s="65">
        <f t="shared" si="12"/>
        <v>0</v>
      </c>
      <c r="L27" s="65">
        <f t="shared" ref="L27:O27" si="14">L24+L25</f>
        <v>0</v>
      </c>
      <c r="M27" s="65">
        <f t="shared" si="14"/>
        <v>0</v>
      </c>
      <c r="N27" s="65">
        <f t="shared" si="14"/>
        <v>0</v>
      </c>
      <c r="O27" s="65">
        <f t="shared" si="14"/>
        <v>0</v>
      </c>
      <c r="P27" s="18"/>
      <c r="Q27" s="18"/>
      <c r="R27" s="18"/>
      <c r="S27" s="18"/>
      <c r="T27" s="18"/>
      <c r="U27" s="18"/>
      <c r="V27" s="18"/>
      <c r="W27" s="18"/>
      <c r="X27" s="18"/>
      <c r="Y27" s="18"/>
    </row>
    <row r="28" spans="1:25" ht="16" customHeight="1">
      <c r="A28" s="11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</row>
    <row r="29" spans="1:25" ht="16" customHeight="1">
      <c r="A29" s="12"/>
      <c r="F29" s="18"/>
      <c r="G29" s="18"/>
      <c r="H29" s="18"/>
      <c r="I29" s="18"/>
      <c r="J29" s="19"/>
      <c r="K29" s="19"/>
      <c r="L29" s="18"/>
      <c r="M29" s="18"/>
      <c r="N29" s="18"/>
      <c r="O29" s="19" t="s">
        <v>158</v>
      </c>
      <c r="P29" s="18"/>
      <c r="Q29" s="18"/>
      <c r="R29" s="18"/>
      <c r="S29" s="18"/>
      <c r="T29" s="18"/>
      <c r="U29" s="18"/>
      <c r="V29" s="18"/>
      <c r="W29" s="18"/>
      <c r="X29" s="18"/>
      <c r="Y29" s="19"/>
    </row>
    <row r="30" spans="1:25" ht="16" customHeight="1">
      <c r="A30" s="122" t="s">
        <v>64</v>
      </c>
      <c r="B30" s="122"/>
      <c r="C30" s="122"/>
      <c r="D30" s="122"/>
      <c r="E30" s="122"/>
      <c r="F30" s="131" t="s">
        <v>265</v>
      </c>
      <c r="G30" s="131"/>
      <c r="H30" s="131" t="s">
        <v>266</v>
      </c>
      <c r="I30" s="131"/>
      <c r="J30" s="131" t="s">
        <v>267</v>
      </c>
      <c r="K30" s="131"/>
      <c r="L30" s="131" t="s">
        <v>260</v>
      </c>
      <c r="M30" s="131"/>
      <c r="N30" s="131" t="s">
        <v>261</v>
      </c>
      <c r="O30" s="131"/>
      <c r="P30" s="24"/>
      <c r="Q30" s="18"/>
      <c r="R30" s="24"/>
      <c r="S30" s="18"/>
      <c r="T30" s="24"/>
      <c r="U30" s="18"/>
      <c r="V30" s="24"/>
      <c r="W30" s="18"/>
      <c r="X30" s="24"/>
      <c r="Y30" s="18"/>
    </row>
    <row r="31" spans="1:25" ht="16" customHeight="1">
      <c r="A31" s="122"/>
      <c r="B31" s="122"/>
      <c r="C31" s="122"/>
      <c r="D31" s="122"/>
      <c r="E31" s="122"/>
      <c r="F31" s="52" t="s">
        <v>258</v>
      </c>
      <c r="G31" s="52" t="s">
        <v>259</v>
      </c>
      <c r="H31" s="52" t="s">
        <v>258</v>
      </c>
      <c r="I31" s="52" t="s">
        <v>259</v>
      </c>
      <c r="J31" s="52" t="s">
        <v>258</v>
      </c>
      <c r="K31" s="52" t="s">
        <v>259</v>
      </c>
      <c r="L31" s="52" t="s">
        <v>258</v>
      </c>
      <c r="M31" s="52" t="s">
        <v>259</v>
      </c>
      <c r="N31" s="52" t="s">
        <v>258</v>
      </c>
      <c r="O31" s="52" t="s">
        <v>259</v>
      </c>
      <c r="P31" s="22"/>
      <c r="Q31" s="22"/>
      <c r="R31" s="22"/>
      <c r="S31" s="22"/>
      <c r="T31" s="22"/>
      <c r="U31" s="22"/>
      <c r="V31" s="22"/>
      <c r="W31" s="22"/>
      <c r="X31" s="22"/>
      <c r="Y31" s="22"/>
    </row>
    <row r="32" spans="1:25" ht="16" customHeight="1">
      <c r="A32" s="120" t="s">
        <v>85</v>
      </c>
      <c r="B32" s="60" t="s">
        <v>45</v>
      </c>
      <c r="C32" s="54"/>
      <c r="D32" s="54"/>
      <c r="E32" s="64" t="s">
        <v>36</v>
      </c>
      <c r="F32" s="85">
        <f>812656/1000</f>
        <v>812.65599999999995</v>
      </c>
      <c r="G32" s="89">
        <v>954.39499999999998</v>
      </c>
      <c r="H32" s="85">
        <v>779</v>
      </c>
      <c r="I32" s="89">
        <v>819</v>
      </c>
      <c r="J32" s="85">
        <v>16</v>
      </c>
      <c r="K32" s="89">
        <v>19</v>
      </c>
      <c r="L32" s="85">
        <v>10</v>
      </c>
      <c r="M32" s="89">
        <v>7</v>
      </c>
      <c r="N32" s="85">
        <v>199</v>
      </c>
      <c r="O32" s="89">
        <v>204.96199999999999</v>
      </c>
      <c r="P32" s="21"/>
      <c r="Q32" s="21"/>
      <c r="R32" s="21"/>
      <c r="S32" s="21"/>
      <c r="T32" s="23"/>
      <c r="U32" s="23"/>
      <c r="V32" s="21"/>
      <c r="W32" s="21"/>
      <c r="X32" s="23"/>
      <c r="Y32" s="23"/>
    </row>
    <row r="33" spans="1:25" ht="16" customHeight="1">
      <c r="A33" s="128"/>
      <c r="B33" s="62"/>
      <c r="C33" s="60" t="s">
        <v>65</v>
      </c>
      <c r="D33" s="54"/>
      <c r="E33" s="64"/>
      <c r="F33" s="85">
        <f>424104/1000</f>
        <v>424.10399999999998</v>
      </c>
      <c r="G33" s="89">
        <v>458.96199999999999</v>
      </c>
      <c r="H33" s="85">
        <v>286</v>
      </c>
      <c r="I33" s="89">
        <v>330</v>
      </c>
      <c r="J33" s="85">
        <v>0</v>
      </c>
      <c r="K33" s="89">
        <v>4</v>
      </c>
      <c r="L33" s="85">
        <v>10</v>
      </c>
      <c r="M33" s="89">
        <v>7</v>
      </c>
      <c r="N33" s="85">
        <v>52</v>
      </c>
      <c r="O33" s="89">
        <v>56.951000000000001</v>
      </c>
      <c r="P33" s="21"/>
      <c r="Q33" s="21"/>
      <c r="R33" s="21"/>
      <c r="S33" s="21"/>
      <c r="T33" s="23"/>
      <c r="U33" s="23"/>
      <c r="V33" s="21"/>
      <c r="W33" s="21"/>
      <c r="X33" s="23"/>
      <c r="Y33" s="23"/>
    </row>
    <row r="34" spans="1:25" ht="16" customHeight="1">
      <c r="A34" s="128"/>
      <c r="B34" s="62"/>
      <c r="C34" s="61"/>
      <c r="D34" s="54" t="s">
        <v>66</v>
      </c>
      <c r="E34" s="64"/>
      <c r="F34" s="85">
        <f>424104/1000</f>
        <v>424.10399999999998</v>
      </c>
      <c r="G34" s="89">
        <v>458.96199999999999</v>
      </c>
      <c r="H34" s="85">
        <v>276</v>
      </c>
      <c r="I34" s="89">
        <v>319</v>
      </c>
      <c r="J34" s="85">
        <v>0</v>
      </c>
      <c r="K34" s="89">
        <v>4</v>
      </c>
      <c r="L34" s="85">
        <v>10</v>
      </c>
      <c r="M34" s="89">
        <v>7</v>
      </c>
      <c r="N34" s="85">
        <v>52</v>
      </c>
      <c r="O34" s="89">
        <v>56.951000000000001</v>
      </c>
      <c r="P34" s="21"/>
      <c r="Q34" s="21"/>
      <c r="R34" s="21"/>
      <c r="S34" s="21"/>
      <c r="T34" s="23"/>
      <c r="U34" s="23"/>
      <c r="V34" s="21"/>
      <c r="W34" s="21"/>
      <c r="X34" s="23"/>
      <c r="Y34" s="23"/>
    </row>
    <row r="35" spans="1:25" ht="16" customHeight="1">
      <c r="A35" s="128"/>
      <c r="B35" s="61"/>
      <c r="C35" s="54" t="s">
        <v>67</v>
      </c>
      <c r="D35" s="54"/>
      <c r="E35" s="64"/>
      <c r="F35" s="85">
        <f>388552/1000</f>
        <v>388.55200000000002</v>
      </c>
      <c r="G35" s="89">
        <v>495.43299999999999</v>
      </c>
      <c r="H35" s="85">
        <v>493</v>
      </c>
      <c r="I35" s="89">
        <v>490</v>
      </c>
      <c r="J35" s="93">
        <v>16</v>
      </c>
      <c r="K35" s="97">
        <v>15</v>
      </c>
      <c r="L35" s="85">
        <v>0</v>
      </c>
      <c r="M35" s="89">
        <v>0</v>
      </c>
      <c r="N35" s="85">
        <v>147</v>
      </c>
      <c r="O35" s="89">
        <v>148.011</v>
      </c>
      <c r="P35" s="21"/>
      <c r="Q35" s="21"/>
      <c r="R35" s="21"/>
      <c r="S35" s="21"/>
      <c r="T35" s="23"/>
      <c r="U35" s="23"/>
      <c r="V35" s="21"/>
      <c r="W35" s="21"/>
      <c r="X35" s="23"/>
      <c r="Y35" s="23"/>
    </row>
    <row r="36" spans="1:25" ht="16" customHeight="1">
      <c r="A36" s="128"/>
      <c r="B36" s="60" t="s">
        <v>48</v>
      </c>
      <c r="C36" s="54"/>
      <c r="D36" s="54"/>
      <c r="E36" s="64" t="s">
        <v>37</v>
      </c>
      <c r="F36" s="85">
        <f>677806/1000</f>
        <v>677.80600000000004</v>
      </c>
      <c r="G36" s="89">
        <v>842.91800000000001</v>
      </c>
      <c r="H36" s="85">
        <v>779</v>
      </c>
      <c r="I36" s="89">
        <v>819</v>
      </c>
      <c r="J36" s="85">
        <v>16</v>
      </c>
      <c r="K36" s="89">
        <v>15</v>
      </c>
      <c r="L36" s="85">
        <v>0</v>
      </c>
      <c r="M36" s="89">
        <v>0</v>
      </c>
      <c r="N36" s="85">
        <v>142</v>
      </c>
      <c r="O36" s="89">
        <v>204.96199999999999</v>
      </c>
      <c r="P36" s="21"/>
      <c r="Q36" s="21"/>
      <c r="R36" s="21"/>
      <c r="S36" s="21"/>
      <c r="T36" s="21"/>
      <c r="U36" s="21"/>
      <c r="V36" s="21"/>
      <c r="W36" s="21"/>
      <c r="X36" s="23"/>
      <c r="Y36" s="23"/>
    </row>
    <row r="37" spans="1:25" ht="16" customHeight="1">
      <c r="A37" s="128"/>
      <c r="B37" s="62"/>
      <c r="C37" s="54" t="s">
        <v>68</v>
      </c>
      <c r="D37" s="54"/>
      <c r="E37" s="64"/>
      <c r="F37" s="85">
        <f>414788/1000</f>
        <v>414.78800000000001</v>
      </c>
      <c r="G37" s="89">
        <v>481.084</v>
      </c>
      <c r="H37" s="85">
        <v>773</v>
      </c>
      <c r="I37" s="89">
        <v>814</v>
      </c>
      <c r="J37" s="85">
        <v>0.15904499999999999</v>
      </c>
      <c r="K37" s="89">
        <v>0</v>
      </c>
      <c r="L37" s="85">
        <v>0</v>
      </c>
      <c r="M37" s="89">
        <v>0</v>
      </c>
      <c r="N37" s="85">
        <v>100</v>
      </c>
      <c r="O37" s="89">
        <v>156.86000000000001</v>
      </c>
      <c r="P37" s="21"/>
      <c r="Q37" s="21"/>
      <c r="R37" s="21"/>
      <c r="S37" s="21"/>
      <c r="T37" s="21"/>
      <c r="U37" s="21"/>
      <c r="V37" s="21"/>
      <c r="W37" s="21"/>
      <c r="X37" s="23"/>
      <c r="Y37" s="23"/>
    </row>
    <row r="38" spans="1:25" ht="16" customHeight="1">
      <c r="A38" s="128"/>
      <c r="B38" s="61"/>
      <c r="C38" s="54" t="s">
        <v>69</v>
      </c>
      <c r="D38" s="54"/>
      <c r="E38" s="64"/>
      <c r="F38" s="85">
        <f>263018/1000</f>
        <v>263.01799999999997</v>
      </c>
      <c r="G38" s="89">
        <v>361.834</v>
      </c>
      <c r="H38" s="85">
        <v>5</v>
      </c>
      <c r="I38" s="89">
        <v>5</v>
      </c>
      <c r="J38" s="85">
        <v>16</v>
      </c>
      <c r="K38" s="89">
        <v>15</v>
      </c>
      <c r="L38" s="85">
        <v>0</v>
      </c>
      <c r="M38" s="89">
        <v>0</v>
      </c>
      <c r="N38" s="85">
        <v>42</v>
      </c>
      <c r="O38" s="89">
        <v>48.101999999999997</v>
      </c>
      <c r="P38" s="21"/>
      <c r="Q38" s="21"/>
      <c r="R38" s="23"/>
      <c r="S38" s="23"/>
      <c r="T38" s="21"/>
      <c r="U38" s="21"/>
      <c r="V38" s="21"/>
      <c r="W38" s="21"/>
      <c r="X38" s="23"/>
      <c r="Y38" s="23"/>
    </row>
    <row r="39" spans="1:25" ht="16" customHeight="1">
      <c r="A39" s="128"/>
      <c r="B39" s="29" t="s">
        <v>70</v>
      </c>
      <c r="C39" s="29"/>
      <c r="D39" s="29"/>
      <c r="E39" s="64" t="s">
        <v>159</v>
      </c>
      <c r="F39" s="85">
        <f t="shared" ref="F39" si="15">F32-F36</f>
        <v>134.84999999999991</v>
      </c>
      <c r="G39" s="65">
        <f t="shared" ref="G39:O39" si="16">G32-G36</f>
        <v>111.47699999999998</v>
      </c>
      <c r="H39" s="85">
        <f t="shared" si="16"/>
        <v>0</v>
      </c>
      <c r="I39" s="65">
        <f t="shared" si="16"/>
        <v>0</v>
      </c>
      <c r="J39" s="85">
        <f t="shared" si="16"/>
        <v>0</v>
      </c>
      <c r="K39" s="89">
        <f t="shared" si="16"/>
        <v>4</v>
      </c>
      <c r="L39" s="85">
        <f t="shared" si="16"/>
        <v>10</v>
      </c>
      <c r="M39" s="65">
        <f t="shared" si="16"/>
        <v>7</v>
      </c>
      <c r="N39" s="85">
        <f t="shared" si="16"/>
        <v>57</v>
      </c>
      <c r="O39" s="89">
        <f t="shared" si="16"/>
        <v>0</v>
      </c>
      <c r="P39" s="21"/>
      <c r="Q39" s="21"/>
      <c r="R39" s="21"/>
      <c r="S39" s="21"/>
      <c r="T39" s="21"/>
      <c r="U39" s="21"/>
      <c r="V39" s="21"/>
      <c r="W39" s="21"/>
      <c r="X39" s="23"/>
      <c r="Y39" s="23"/>
    </row>
    <row r="40" spans="1:25" ht="16" customHeight="1">
      <c r="A40" s="120" t="s">
        <v>86</v>
      </c>
      <c r="B40" s="60" t="s">
        <v>71</v>
      </c>
      <c r="C40" s="54"/>
      <c r="D40" s="54"/>
      <c r="E40" s="64" t="s">
        <v>39</v>
      </c>
      <c r="F40" s="85">
        <f>645985/1000</f>
        <v>645.98500000000001</v>
      </c>
      <c r="G40" s="65">
        <v>380.428</v>
      </c>
      <c r="H40" s="85">
        <v>440</v>
      </c>
      <c r="I40" s="89">
        <v>368</v>
      </c>
      <c r="J40" s="85">
        <v>703</v>
      </c>
      <c r="K40" s="89">
        <v>797</v>
      </c>
      <c r="L40" s="85">
        <v>28</v>
      </c>
      <c r="M40" s="89">
        <v>0</v>
      </c>
      <c r="N40" s="85">
        <v>562</v>
      </c>
      <c r="O40" s="89">
        <v>312.137</v>
      </c>
      <c r="P40" s="21"/>
      <c r="Q40" s="21"/>
      <c r="R40" s="21"/>
      <c r="S40" s="21"/>
      <c r="T40" s="23"/>
      <c r="U40" s="23"/>
      <c r="V40" s="23"/>
      <c r="W40" s="23"/>
      <c r="X40" s="21"/>
      <c r="Y40" s="21"/>
    </row>
    <row r="41" spans="1:25" ht="16" customHeight="1">
      <c r="A41" s="121"/>
      <c r="B41" s="61"/>
      <c r="C41" s="54" t="s">
        <v>72</v>
      </c>
      <c r="D41" s="54"/>
      <c r="E41" s="64"/>
      <c r="F41" s="93">
        <f>610000/1000</f>
        <v>610</v>
      </c>
      <c r="G41" s="67">
        <v>352</v>
      </c>
      <c r="H41" s="93">
        <v>234</v>
      </c>
      <c r="I41" s="97">
        <v>260</v>
      </c>
      <c r="J41" s="85">
        <v>0</v>
      </c>
      <c r="K41" s="89">
        <v>0</v>
      </c>
      <c r="L41" s="85">
        <v>0</v>
      </c>
      <c r="M41" s="89">
        <v>0</v>
      </c>
      <c r="N41" s="85">
        <v>154</v>
      </c>
      <c r="O41" s="89">
        <v>13</v>
      </c>
      <c r="P41" s="23"/>
      <c r="Q41" s="23"/>
      <c r="R41" s="23"/>
      <c r="S41" s="23"/>
      <c r="T41" s="23"/>
      <c r="U41" s="23"/>
      <c r="V41" s="23"/>
      <c r="W41" s="23"/>
      <c r="X41" s="21"/>
      <c r="Y41" s="21"/>
    </row>
    <row r="42" spans="1:25" ht="16" customHeight="1">
      <c r="A42" s="121"/>
      <c r="B42" s="60" t="s">
        <v>59</v>
      </c>
      <c r="C42" s="54"/>
      <c r="D42" s="54"/>
      <c r="E42" s="64" t="s">
        <v>40</v>
      </c>
      <c r="F42" s="85">
        <f>781305/1000</f>
        <v>781.30499999999995</v>
      </c>
      <c r="G42" s="65">
        <v>515.65899999999999</v>
      </c>
      <c r="H42" s="85">
        <v>440</v>
      </c>
      <c r="I42" s="89">
        <v>367</v>
      </c>
      <c r="J42" s="85">
        <v>703</v>
      </c>
      <c r="K42" s="89">
        <v>801</v>
      </c>
      <c r="L42" s="85">
        <v>38</v>
      </c>
      <c r="M42" s="89">
        <v>7</v>
      </c>
      <c r="N42" s="85">
        <v>398</v>
      </c>
      <c r="O42" s="89">
        <v>312.137</v>
      </c>
      <c r="P42" s="21"/>
      <c r="Q42" s="21"/>
      <c r="R42" s="21"/>
      <c r="S42" s="21"/>
      <c r="T42" s="23"/>
      <c r="U42" s="23"/>
      <c r="V42" s="21"/>
      <c r="W42" s="21"/>
      <c r="X42" s="21"/>
      <c r="Y42" s="21"/>
    </row>
    <row r="43" spans="1:25" ht="16" customHeight="1">
      <c r="A43" s="121"/>
      <c r="B43" s="61"/>
      <c r="C43" s="54" t="s">
        <v>73</v>
      </c>
      <c r="D43" s="54"/>
      <c r="E43" s="64"/>
      <c r="F43" s="85">
        <f>125267/1000</f>
        <v>125.267</v>
      </c>
      <c r="G43" s="65">
        <v>122.18600000000001</v>
      </c>
      <c r="H43" s="85">
        <v>114</v>
      </c>
      <c r="I43" s="89">
        <v>101</v>
      </c>
      <c r="J43" s="93">
        <v>562.99900000000002</v>
      </c>
      <c r="K43" s="97">
        <v>678.13</v>
      </c>
      <c r="L43" s="85">
        <v>0</v>
      </c>
      <c r="M43" s="89">
        <v>0</v>
      </c>
      <c r="N43" s="85">
        <v>286</v>
      </c>
      <c r="O43" s="89">
        <v>289.80900000000003</v>
      </c>
      <c r="P43" s="21"/>
      <c r="Q43" s="21"/>
      <c r="R43" s="23"/>
      <c r="S43" s="21"/>
      <c r="T43" s="23"/>
      <c r="U43" s="23"/>
      <c r="V43" s="21"/>
      <c r="W43" s="21"/>
      <c r="X43" s="23"/>
      <c r="Y43" s="23"/>
    </row>
    <row r="44" spans="1:25" ht="16" customHeight="1">
      <c r="A44" s="121"/>
      <c r="B44" s="54" t="s">
        <v>70</v>
      </c>
      <c r="C44" s="54"/>
      <c r="D44" s="54"/>
      <c r="E44" s="64" t="s">
        <v>160</v>
      </c>
      <c r="F44" s="93">
        <f t="shared" ref="F44" si="17">F40-F42</f>
        <v>-135.31999999999994</v>
      </c>
      <c r="G44" s="67">
        <f t="shared" ref="G44:O44" si="18">G40-G42</f>
        <v>-135.23099999999999</v>
      </c>
      <c r="H44" s="93">
        <f t="shared" si="18"/>
        <v>0</v>
      </c>
      <c r="I44" s="67">
        <f t="shared" si="18"/>
        <v>1</v>
      </c>
      <c r="J44" s="93">
        <f t="shared" si="18"/>
        <v>0</v>
      </c>
      <c r="K44" s="97">
        <f t="shared" si="18"/>
        <v>-4</v>
      </c>
      <c r="L44" s="93">
        <f t="shared" si="18"/>
        <v>-10</v>
      </c>
      <c r="M44" s="67">
        <f t="shared" si="18"/>
        <v>-7</v>
      </c>
      <c r="N44" s="93">
        <f t="shared" si="18"/>
        <v>164</v>
      </c>
      <c r="O44" s="97">
        <f t="shared" si="18"/>
        <v>0</v>
      </c>
      <c r="P44" s="23"/>
      <c r="Q44" s="23"/>
      <c r="R44" s="21"/>
      <c r="S44" s="21"/>
      <c r="T44" s="23"/>
      <c r="U44" s="23"/>
      <c r="V44" s="21"/>
      <c r="W44" s="21"/>
      <c r="X44" s="21"/>
      <c r="Y44" s="21"/>
    </row>
    <row r="45" spans="1:25" ht="16" customHeight="1">
      <c r="A45" s="120" t="s">
        <v>78</v>
      </c>
      <c r="B45" s="29" t="s">
        <v>74</v>
      </c>
      <c r="C45" s="29"/>
      <c r="D45" s="29"/>
      <c r="E45" s="64" t="s">
        <v>161</v>
      </c>
      <c r="F45" s="85">
        <f t="shared" ref="F45" si="19">F39+F44</f>
        <v>-0.47000000000002728</v>
      </c>
      <c r="G45" s="65">
        <f t="shared" ref="G45:O45" si="20">G39+G44</f>
        <v>-23.754000000000019</v>
      </c>
      <c r="H45" s="85">
        <f t="shared" si="20"/>
        <v>0</v>
      </c>
      <c r="I45" s="65">
        <f t="shared" si="20"/>
        <v>1</v>
      </c>
      <c r="J45" s="85">
        <f t="shared" si="20"/>
        <v>0</v>
      </c>
      <c r="K45" s="89">
        <f t="shared" si="20"/>
        <v>0</v>
      </c>
      <c r="L45" s="85">
        <f t="shared" si="20"/>
        <v>0</v>
      </c>
      <c r="M45" s="65">
        <f t="shared" si="20"/>
        <v>0</v>
      </c>
      <c r="N45" s="85">
        <f t="shared" si="20"/>
        <v>221</v>
      </c>
      <c r="O45" s="89">
        <f t="shared" si="20"/>
        <v>0</v>
      </c>
      <c r="P45" s="21"/>
      <c r="Q45" s="21"/>
      <c r="R45" s="21"/>
      <c r="S45" s="21"/>
      <c r="T45" s="21"/>
      <c r="U45" s="21"/>
      <c r="V45" s="21"/>
      <c r="W45" s="21"/>
      <c r="X45" s="21"/>
      <c r="Y45" s="21"/>
    </row>
    <row r="46" spans="1:25" ht="16" customHeight="1">
      <c r="A46" s="121"/>
      <c r="B46" s="54" t="s">
        <v>75</v>
      </c>
      <c r="C46" s="54"/>
      <c r="D46" s="54"/>
      <c r="E46" s="54"/>
      <c r="F46" s="93">
        <v>0</v>
      </c>
      <c r="G46" s="67">
        <v>0</v>
      </c>
      <c r="H46" s="97">
        <v>0</v>
      </c>
      <c r="I46" s="97">
        <v>0</v>
      </c>
      <c r="J46" s="93">
        <v>0</v>
      </c>
      <c r="K46" s="97">
        <v>0</v>
      </c>
      <c r="L46" s="85">
        <v>0</v>
      </c>
      <c r="M46" s="89">
        <v>0</v>
      </c>
      <c r="N46" s="93">
        <v>0</v>
      </c>
      <c r="O46" s="97">
        <v>0</v>
      </c>
      <c r="P46" s="23"/>
      <c r="Q46" s="23"/>
      <c r="R46" s="23"/>
      <c r="S46" s="23"/>
      <c r="T46" s="23"/>
      <c r="U46" s="23"/>
      <c r="V46" s="23"/>
      <c r="W46" s="23"/>
      <c r="X46" s="23"/>
      <c r="Y46" s="23"/>
    </row>
    <row r="47" spans="1:25" ht="16" customHeight="1">
      <c r="A47" s="121"/>
      <c r="B47" s="54" t="s">
        <v>76</v>
      </c>
      <c r="C47" s="54"/>
      <c r="D47" s="54"/>
      <c r="E47" s="54"/>
      <c r="F47" s="85">
        <v>0</v>
      </c>
      <c r="G47" s="67">
        <v>0</v>
      </c>
      <c r="H47" s="89">
        <v>0</v>
      </c>
      <c r="I47" s="89">
        <v>0</v>
      </c>
      <c r="J47" s="85">
        <v>0</v>
      </c>
      <c r="K47" s="89">
        <v>0</v>
      </c>
      <c r="L47" s="85">
        <v>0</v>
      </c>
      <c r="M47" s="89">
        <v>0</v>
      </c>
      <c r="N47" s="85">
        <v>221</v>
      </c>
      <c r="O47" s="89">
        <v>0</v>
      </c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:25" ht="16" customHeight="1">
      <c r="A48" s="121"/>
      <c r="B48" s="54" t="s">
        <v>77</v>
      </c>
      <c r="C48" s="54"/>
      <c r="D48" s="54"/>
      <c r="E48" s="54"/>
      <c r="F48" s="85">
        <v>0</v>
      </c>
      <c r="G48" s="65">
        <v>0</v>
      </c>
      <c r="H48" s="89">
        <v>0</v>
      </c>
      <c r="I48" s="89">
        <v>0</v>
      </c>
      <c r="J48" s="85">
        <v>0</v>
      </c>
      <c r="K48" s="89">
        <v>0</v>
      </c>
      <c r="L48" s="85">
        <v>0</v>
      </c>
      <c r="M48" s="89">
        <v>0</v>
      </c>
      <c r="N48" s="85">
        <v>203</v>
      </c>
      <c r="O48" s="89">
        <v>0</v>
      </c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:15" ht="16" customHeight="1">
      <c r="A49" s="11" t="s">
        <v>162</v>
      </c>
      <c r="O49" s="4"/>
    </row>
    <row r="50" spans="1:15" ht="16" customHeight="1">
      <c r="A50" s="11"/>
    </row>
  </sheetData>
  <mergeCells count="28">
    <mergeCell ref="O25:O26"/>
    <mergeCell ref="A30:E31"/>
    <mergeCell ref="F30:G30"/>
    <mergeCell ref="H30:I30"/>
    <mergeCell ref="J30:K30"/>
    <mergeCell ref="L30:M30"/>
    <mergeCell ref="N30:O30"/>
    <mergeCell ref="F6:G6"/>
    <mergeCell ref="H6:I6"/>
    <mergeCell ref="A32:A39"/>
    <mergeCell ref="A40:A44"/>
    <mergeCell ref="A45:A48"/>
    <mergeCell ref="J6:K6"/>
    <mergeCell ref="L6:M6"/>
    <mergeCell ref="N6:O6"/>
    <mergeCell ref="A8:A18"/>
    <mergeCell ref="A19:A27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A6:E7"/>
  </mergeCells>
  <phoneticPr fontId="15"/>
  <conditionalFormatting sqref="F8:F27">
    <cfRule type="containsBlanks" dxfId="19" priority="7">
      <formula>LEN(TRIM(F8))=0</formula>
    </cfRule>
  </conditionalFormatting>
  <conditionalFormatting sqref="F32:F48">
    <cfRule type="containsBlanks" dxfId="18" priority="6">
      <formula>LEN(TRIM(F32))=0</formula>
    </cfRule>
  </conditionalFormatting>
  <conditionalFormatting sqref="G8:G13">
    <cfRule type="containsBlanks" dxfId="17" priority="21">
      <formula>LEN(TRIM(G8))=0</formula>
    </cfRule>
  </conditionalFormatting>
  <conditionalFormatting sqref="G17:G23">
    <cfRule type="containsBlanks" dxfId="16" priority="20">
      <formula>LEN(TRIM(G17))=0</formula>
    </cfRule>
  </conditionalFormatting>
  <conditionalFormatting sqref="G25:G26">
    <cfRule type="containsBlanks" dxfId="15" priority="19">
      <formula>LEN(TRIM(G25))=0</formula>
    </cfRule>
  </conditionalFormatting>
  <conditionalFormatting sqref="G32:G38">
    <cfRule type="containsBlanks" dxfId="14" priority="17">
      <formula>LEN(TRIM(G32))=0</formula>
    </cfRule>
  </conditionalFormatting>
  <conditionalFormatting sqref="H32:H48">
    <cfRule type="containsBlanks" dxfId="13" priority="5">
      <formula>LEN(TRIM(H32))=0</formula>
    </cfRule>
  </conditionalFormatting>
  <conditionalFormatting sqref="H8:J27">
    <cfRule type="containsBlanks" dxfId="12" priority="3">
      <formula>LEN(TRIM(H8))=0</formula>
    </cfRule>
  </conditionalFormatting>
  <conditionalFormatting sqref="I32:I38">
    <cfRule type="containsBlanks" dxfId="11" priority="16">
      <formula>LEN(TRIM(I32))=0</formula>
    </cfRule>
  </conditionalFormatting>
  <conditionalFormatting sqref="I40:I43">
    <cfRule type="containsBlanks" dxfId="10" priority="15">
      <formula>LEN(TRIM(I40))=0</formula>
    </cfRule>
  </conditionalFormatting>
  <conditionalFormatting sqref="I46:I48">
    <cfRule type="containsBlanks" dxfId="9" priority="14">
      <formula>LEN(TRIM(I46))=0</formula>
    </cfRule>
  </conditionalFormatting>
  <conditionalFormatting sqref="J32:L48">
    <cfRule type="containsBlanks" dxfId="8" priority="1">
      <formula>LEN(TRIM(J32))=0</formula>
    </cfRule>
  </conditionalFormatting>
  <conditionalFormatting sqref="M32:M38">
    <cfRule type="containsBlanks" dxfId="7" priority="13">
      <formula>LEN(TRIM(M32))=0</formula>
    </cfRule>
  </conditionalFormatting>
  <conditionalFormatting sqref="M40:M43">
    <cfRule type="containsBlanks" dxfId="6" priority="12">
      <formula>LEN(TRIM(M40))=0</formula>
    </cfRule>
  </conditionalFormatting>
  <conditionalFormatting sqref="M46:M48">
    <cfRule type="containsBlanks" dxfId="5" priority="11">
      <formula>LEN(TRIM(M46))=0</formula>
    </cfRule>
  </conditionalFormatting>
  <conditionalFormatting sqref="N32:O48">
    <cfRule type="containsBlanks" dxfId="4" priority="2">
      <formula>LEN(TRIM(N32))=0</formula>
    </cfRule>
  </conditionalFormatting>
  <printOptions horizontalCentered="1" gridLinesSet="0"/>
  <pageMargins left="0.78740157480314965" right="0.35433070866141736" top="0.27559055118110237" bottom="0.23622047244094491" header="0.19685039370078741" footer="0.19685039370078741"/>
  <pageSetup paperSize="9" scale="67" firstPageNumber="3" orientation="landscape" useFirstPageNumber="1" r:id="rId1"/>
  <headerFooter alignWithMargins="0">
    <oddHeader>&amp;R&amp;"明朝,斜体"&amp;9指定都市－4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47"/>
  <sheetViews>
    <sheetView view="pageBreakPreview" zoomScale="85" zoomScaleNormal="100" zoomScaleSheetLayoutView="85" workbookViewId="0">
      <pane xSplit="4" ySplit="7" topLeftCell="E8" activePane="bottomRight" state="frozen"/>
      <selection activeCell="A9" sqref="A9:A40"/>
      <selection pane="topRight" activeCell="A9" sqref="A9:A40"/>
      <selection pane="bottomLeft" activeCell="A9" sqref="A9:A40"/>
      <selection pane="bottomRight" activeCell="G20" sqref="G20"/>
    </sheetView>
  </sheetViews>
  <sheetFormatPr defaultColWidth="9" defaultRowHeight="13"/>
  <cols>
    <col min="1" max="2" width="3.6328125" style="1" customWidth="1"/>
    <col min="3" max="3" width="21.36328125" style="1" customWidth="1"/>
    <col min="4" max="4" width="20" style="1" customWidth="1"/>
    <col min="5" max="14" width="12.6328125" style="1" customWidth="1"/>
    <col min="15" max="16384" width="9" style="1"/>
  </cols>
  <sheetData>
    <row r="1" spans="1:14" ht="34" customHeight="1">
      <c r="A1" s="35" t="s">
        <v>0</v>
      </c>
      <c r="B1" s="35"/>
      <c r="C1" s="41" t="s">
        <v>262</v>
      </c>
      <c r="D1" s="42"/>
    </row>
    <row r="3" spans="1:14" ht="15" customHeight="1">
      <c r="A3" s="15" t="s">
        <v>163</v>
      </c>
      <c r="B3" s="15"/>
      <c r="C3" s="15"/>
      <c r="D3" s="15"/>
      <c r="E3" s="15"/>
      <c r="F3" s="15"/>
      <c r="I3" s="15"/>
      <c r="J3" s="15"/>
    </row>
    <row r="4" spans="1:14" ht="15" customHeight="1">
      <c r="A4" s="15"/>
      <c r="B4" s="15"/>
      <c r="C4" s="15"/>
      <c r="D4" s="15"/>
      <c r="E4" s="15"/>
      <c r="F4" s="15"/>
      <c r="I4" s="15"/>
      <c r="J4" s="15"/>
    </row>
    <row r="5" spans="1:14" ht="15" customHeight="1">
      <c r="A5" s="43"/>
      <c r="B5" s="43" t="s">
        <v>241</v>
      </c>
      <c r="C5" s="43"/>
      <c r="D5" s="43"/>
      <c r="H5" s="16"/>
      <c r="L5" s="16"/>
      <c r="N5" s="16" t="s">
        <v>164</v>
      </c>
    </row>
    <row r="6" spans="1:14" ht="15" customHeight="1">
      <c r="A6" s="44"/>
      <c r="B6" s="45"/>
      <c r="C6" s="45"/>
      <c r="D6" s="87"/>
      <c r="E6" s="135" t="s">
        <v>263</v>
      </c>
      <c r="F6" s="135"/>
      <c r="G6" s="136" t="s">
        <v>264</v>
      </c>
      <c r="H6" s="136"/>
      <c r="I6" s="137"/>
      <c r="J6" s="137"/>
      <c r="K6" s="137"/>
      <c r="L6" s="137"/>
      <c r="M6" s="137"/>
      <c r="N6" s="137"/>
    </row>
    <row r="7" spans="1:14" ht="15" customHeight="1">
      <c r="A7" s="46"/>
      <c r="B7" s="47"/>
      <c r="C7" s="47"/>
      <c r="D7" s="88"/>
      <c r="E7" s="27" t="s">
        <v>258</v>
      </c>
      <c r="F7" s="27" t="s">
        <v>259</v>
      </c>
      <c r="G7" s="27" t="s">
        <v>258</v>
      </c>
      <c r="H7" s="27" t="s">
        <v>259</v>
      </c>
      <c r="I7" s="27" t="s">
        <v>237</v>
      </c>
      <c r="J7" s="27" t="s">
        <v>238</v>
      </c>
      <c r="K7" s="27" t="s">
        <v>237</v>
      </c>
      <c r="L7" s="27" t="s">
        <v>238</v>
      </c>
      <c r="M7" s="27" t="s">
        <v>237</v>
      </c>
      <c r="N7" s="27" t="s">
        <v>238</v>
      </c>
    </row>
    <row r="8" spans="1:14" ht="18" customHeight="1">
      <c r="A8" s="115" t="s">
        <v>165</v>
      </c>
      <c r="B8" s="82" t="s">
        <v>166</v>
      </c>
      <c r="C8" s="83"/>
      <c r="D8" s="83"/>
      <c r="E8" s="105">
        <v>1</v>
      </c>
      <c r="F8" s="106">
        <v>1</v>
      </c>
      <c r="G8" s="105">
        <v>20</v>
      </c>
      <c r="H8" s="106">
        <v>20</v>
      </c>
      <c r="I8" s="84"/>
      <c r="J8" s="84"/>
      <c r="K8" s="84"/>
      <c r="L8" s="84"/>
      <c r="M8" s="84"/>
      <c r="N8" s="84"/>
    </row>
    <row r="9" spans="1:14" ht="18" customHeight="1">
      <c r="A9" s="115"/>
      <c r="B9" s="115" t="s">
        <v>167</v>
      </c>
      <c r="C9" s="54" t="s">
        <v>168</v>
      </c>
      <c r="D9" s="54"/>
      <c r="E9" s="105">
        <v>105</v>
      </c>
      <c r="F9" s="106">
        <v>105</v>
      </c>
      <c r="G9" s="105">
        <v>100</v>
      </c>
      <c r="H9" s="106">
        <v>100</v>
      </c>
      <c r="I9" s="84"/>
      <c r="J9" s="84"/>
      <c r="K9" s="84"/>
      <c r="L9" s="84"/>
      <c r="M9" s="84"/>
      <c r="N9" s="84"/>
    </row>
    <row r="10" spans="1:14" ht="18" customHeight="1">
      <c r="A10" s="115"/>
      <c r="B10" s="115"/>
      <c r="C10" s="54" t="s">
        <v>169</v>
      </c>
      <c r="D10" s="54"/>
      <c r="E10" s="105">
        <v>105</v>
      </c>
      <c r="F10" s="106">
        <v>105</v>
      </c>
      <c r="G10" s="105">
        <v>93</v>
      </c>
      <c r="H10" s="106">
        <v>93</v>
      </c>
      <c r="I10" s="84"/>
      <c r="J10" s="84"/>
      <c r="K10" s="84"/>
      <c r="L10" s="84"/>
      <c r="M10" s="84"/>
      <c r="N10" s="84"/>
    </row>
    <row r="11" spans="1:14" ht="18" customHeight="1">
      <c r="A11" s="115"/>
      <c r="B11" s="115"/>
      <c r="C11" s="54" t="s">
        <v>170</v>
      </c>
      <c r="D11" s="54"/>
      <c r="E11" s="105">
        <v>0</v>
      </c>
      <c r="F11" s="107">
        <v>0</v>
      </c>
      <c r="G11" s="105">
        <v>0</v>
      </c>
      <c r="H11" s="106">
        <v>0</v>
      </c>
      <c r="I11" s="84"/>
      <c r="J11" s="84"/>
      <c r="K11" s="84"/>
      <c r="L11" s="84"/>
      <c r="M11" s="84"/>
      <c r="N11" s="84"/>
    </row>
    <row r="12" spans="1:14" ht="18" customHeight="1">
      <c r="A12" s="115"/>
      <c r="B12" s="115"/>
      <c r="C12" s="54" t="s">
        <v>171</v>
      </c>
      <c r="D12" s="54"/>
      <c r="E12" s="105">
        <v>0</v>
      </c>
      <c r="F12" s="106">
        <v>0</v>
      </c>
      <c r="G12" s="105">
        <v>7</v>
      </c>
      <c r="H12" s="106">
        <v>7</v>
      </c>
      <c r="I12" s="84"/>
      <c r="J12" s="84"/>
      <c r="K12" s="84"/>
      <c r="L12" s="84"/>
      <c r="M12" s="84"/>
      <c r="N12" s="84"/>
    </row>
    <row r="13" spans="1:14" ht="18" customHeight="1">
      <c r="A13" s="115"/>
      <c r="B13" s="115"/>
      <c r="C13" s="54" t="s">
        <v>172</v>
      </c>
      <c r="D13" s="54"/>
      <c r="E13" s="105">
        <v>0</v>
      </c>
      <c r="F13" s="106">
        <v>0</v>
      </c>
      <c r="G13" s="105">
        <v>0</v>
      </c>
      <c r="H13" s="106">
        <v>0</v>
      </c>
      <c r="I13" s="84"/>
      <c r="J13" s="84"/>
      <c r="K13" s="84"/>
      <c r="L13" s="84"/>
      <c r="M13" s="84"/>
      <c r="N13" s="84"/>
    </row>
    <row r="14" spans="1:14" ht="18" customHeight="1">
      <c r="A14" s="115"/>
      <c r="B14" s="115"/>
      <c r="C14" s="54" t="s">
        <v>78</v>
      </c>
      <c r="D14" s="54"/>
      <c r="E14" s="105">
        <v>0</v>
      </c>
      <c r="F14" s="106">
        <v>0</v>
      </c>
      <c r="G14" s="105">
        <v>0</v>
      </c>
      <c r="H14" s="106">
        <v>0</v>
      </c>
      <c r="I14" s="84"/>
      <c r="J14" s="84"/>
      <c r="K14" s="84"/>
      <c r="L14" s="84"/>
      <c r="M14" s="84"/>
      <c r="N14" s="84"/>
    </row>
    <row r="15" spans="1:14" ht="18" customHeight="1">
      <c r="A15" s="115" t="s">
        <v>173</v>
      </c>
      <c r="B15" s="115" t="s">
        <v>174</v>
      </c>
      <c r="C15" s="54" t="s">
        <v>175</v>
      </c>
      <c r="D15" s="54"/>
      <c r="E15" s="85">
        <v>728.149</v>
      </c>
      <c r="F15" s="108">
        <v>703</v>
      </c>
      <c r="G15" s="85">
        <v>6222</v>
      </c>
      <c r="H15" s="108">
        <v>5525</v>
      </c>
      <c r="I15" s="65"/>
      <c r="J15" s="65"/>
      <c r="K15" s="65"/>
      <c r="L15" s="65"/>
      <c r="M15" s="65"/>
      <c r="N15" s="65"/>
    </row>
    <row r="16" spans="1:14" ht="18" customHeight="1">
      <c r="A16" s="115"/>
      <c r="B16" s="115"/>
      <c r="C16" s="54" t="s">
        <v>176</v>
      </c>
      <c r="D16" s="54"/>
      <c r="E16" s="85">
        <v>117.33499999999999</v>
      </c>
      <c r="F16" s="108">
        <v>126</v>
      </c>
      <c r="G16" s="85">
        <v>10100</v>
      </c>
      <c r="H16" s="108">
        <v>9767</v>
      </c>
      <c r="I16" s="65"/>
      <c r="J16" s="65"/>
      <c r="K16" s="65"/>
      <c r="L16" s="65"/>
      <c r="M16" s="65"/>
      <c r="N16" s="65"/>
    </row>
    <row r="17" spans="1:15" ht="18" customHeight="1">
      <c r="A17" s="115"/>
      <c r="B17" s="115"/>
      <c r="C17" s="54" t="s">
        <v>177</v>
      </c>
      <c r="D17" s="54"/>
      <c r="E17" s="85">
        <v>0</v>
      </c>
      <c r="F17" s="108">
        <v>0</v>
      </c>
      <c r="G17" s="85">
        <v>0</v>
      </c>
      <c r="H17" s="108">
        <v>0</v>
      </c>
      <c r="I17" s="65"/>
      <c r="J17" s="65"/>
      <c r="K17" s="65"/>
      <c r="L17" s="65"/>
      <c r="M17" s="65"/>
      <c r="N17" s="65"/>
    </row>
    <row r="18" spans="1:15" ht="18" customHeight="1">
      <c r="A18" s="115"/>
      <c r="B18" s="115"/>
      <c r="C18" s="54" t="s">
        <v>178</v>
      </c>
      <c r="D18" s="54"/>
      <c r="E18" s="85">
        <v>845.48500000000001</v>
      </c>
      <c r="F18" s="108">
        <v>829.1</v>
      </c>
      <c r="G18" s="85">
        <v>16322</v>
      </c>
      <c r="H18" s="108">
        <v>15292</v>
      </c>
      <c r="I18" s="65"/>
      <c r="J18" s="65"/>
      <c r="K18" s="65"/>
      <c r="L18" s="65"/>
      <c r="M18" s="65"/>
      <c r="N18" s="65"/>
    </row>
    <row r="19" spans="1:15" ht="18" customHeight="1">
      <c r="A19" s="115"/>
      <c r="B19" s="115" t="s">
        <v>179</v>
      </c>
      <c r="C19" s="54" t="s">
        <v>180</v>
      </c>
      <c r="D19" s="54"/>
      <c r="E19" s="85">
        <v>371.80700000000002</v>
      </c>
      <c r="F19" s="108">
        <v>392.2</v>
      </c>
      <c r="G19" s="85">
        <v>3540</v>
      </c>
      <c r="H19" s="108">
        <v>2452</v>
      </c>
      <c r="I19" s="65"/>
      <c r="J19" s="65"/>
      <c r="K19" s="65"/>
      <c r="L19" s="65"/>
      <c r="M19" s="65"/>
      <c r="N19" s="65"/>
    </row>
    <row r="20" spans="1:15" ht="18" customHeight="1">
      <c r="A20" s="115"/>
      <c r="B20" s="115"/>
      <c r="C20" s="54" t="s">
        <v>181</v>
      </c>
      <c r="D20" s="54"/>
      <c r="E20" s="85">
        <v>196.18700000000001</v>
      </c>
      <c r="F20" s="108">
        <v>195</v>
      </c>
      <c r="G20" s="85">
        <v>5003</v>
      </c>
      <c r="H20" s="108">
        <v>5462</v>
      </c>
      <c r="I20" s="65"/>
      <c r="J20" s="65"/>
      <c r="K20" s="65"/>
      <c r="L20" s="65"/>
      <c r="M20" s="65"/>
      <c r="N20" s="65"/>
    </row>
    <row r="21" spans="1:15" ht="18" customHeight="1">
      <c r="A21" s="115"/>
      <c r="B21" s="115"/>
      <c r="C21" s="54" t="s">
        <v>182</v>
      </c>
      <c r="D21" s="54"/>
      <c r="E21" s="85">
        <v>0</v>
      </c>
      <c r="F21" s="96">
        <v>0</v>
      </c>
      <c r="G21" s="85">
        <v>0</v>
      </c>
      <c r="H21" s="96">
        <v>0</v>
      </c>
      <c r="I21" s="85"/>
      <c r="J21" s="85"/>
      <c r="K21" s="85"/>
      <c r="L21" s="85"/>
      <c r="M21" s="85"/>
      <c r="N21" s="85"/>
    </row>
    <row r="22" spans="1:15" ht="18" customHeight="1">
      <c r="A22" s="115"/>
      <c r="B22" s="115"/>
      <c r="C22" s="29" t="s">
        <v>183</v>
      </c>
      <c r="D22" s="29"/>
      <c r="E22" s="85">
        <v>567.99400000000003</v>
      </c>
      <c r="F22" s="108">
        <v>587.29999999999995</v>
      </c>
      <c r="G22" s="85">
        <v>8544</v>
      </c>
      <c r="H22" s="108">
        <v>7915</v>
      </c>
      <c r="I22" s="65"/>
      <c r="J22" s="65"/>
      <c r="K22" s="65"/>
      <c r="L22" s="65"/>
      <c r="M22" s="65"/>
      <c r="N22" s="65"/>
    </row>
    <row r="23" spans="1:15" ht="18" customHeight="1">
      <c r="A23" s="115"/>
      <c r="B23" s="115" t="s">
        <v>184</v>
      </c>
      <c r="C23" s="54" t="s">
        <v>185</v>
      </c>
      <c r="D23" s="54"/>
      <c r="E23" s="85">
        <v>100</v>
      </c>
      <c r="F23" s="108">
        <v>100</v>
      </c>
      <c r="G23" s="85">
        <v>100</v>
      </c>
      <c r="H23" s="108">
        <v>100</v>
      </c>
      <c r="I23" s="65"/>
      <c r="J23" s="65"/>
      <c r="K23" s="65"/>
      <c r="L23" s="65"/>
      <c r="M23" s="65"/>
      <c r="N23" s="65"/>
    </row>
    <row r="24" spans="1:15" ht="18" customHeight="1">
      <c r="A24" s="115"/>
      <c r="B24" s="115"/>
      <c r="C24" s="54" t="s">
        <v>186</v>
      </c>
      <c r="D24" s="54"/>
      <c r="E24" s="85">
        <v>177.49</v>
      </c>
      <c r="F24" s="108">
        <v>141.80000000000001</v>
      </c>
      <c r="G24" s="85">
        <v>7024</v>
      </c>
      <c r="H24" s="108">
        <v>6623</v>
      </c>
      <c r="I24" s="65"/>
      <c r="J24" s="65"/>
      <c r="K24" s="65"/>
      <c r="L24" s="65"/>
      <c r="M24" s="65"/>
      <c r="N24" s="65"/>
    </row>
    <row r="25" spans="1:15" ht="18" customHeight="1">
      <c r="A25" s="115"/>
      <c r="B25" s="115"/>
      <c r="C25" s="54" t="s">
        <v>187</v>
      </c>
      <c r="D25" s="54"/>
      <c r="E25" s="85">
        <v>0</v>
      </c>
      <c r="F25" s="108">
        <v>0</v>
      </c>
      <c r="G25" s="85">
        <v>655</v>
      </c>
      <c r="H25" s="108">
        <v>655</v>
      </c>
      <c r="I25" s="65"/>
      <c r="J25" s="65"/>
      <c r="K25" s="65"/>
      <c r="L25" s="65"/>
      <c r="M25" s="65"/>
      <c r="N25" s="65"/>
    </row>
    <row r="26" spans="1:15" ht="18" customHeight="1">
      <c r="A26" s="115"/>
      <c r="B26" s="115"/>
      <c r="C26" s="54" t="s">
        <v>188</v>
      </c>
      <c r="D26" s="54"/>
      <c r="E26" s="85">
        <v>277.49</v>
      </c>
      <c r="F26" s="108">
        <v>241.8</v>
      </c>
      <c r="G26" s="85">
        <v>7779</v>
      </c>
      <c r="H26" s="108">
        <v>7378</v>
      </c>
      <c r="I26" s="65"/>
      <c r="J26" s="65"/>
      <c r="K26" s="65"/>
      <c r="L26" s="65"/>
      <c r="M26" s="65"/>
      <c r="N26" s="65"/>
    </row>
    <row r="27" spans="1:15" ht="18" customHeight="1">
      <c r="A27" s="115"/>
      <c r="B27" s="54" t="s">
        <v>189</v>
      </c>
      <c r="C27" s="54"/>
      <c r="D27" s="54"/>
      <c r="E27" s="85">
        <v>845.48500000000001</v>
      </c>
      <c r="F27" s="108">
        <v>829.1</v>
      </c>
      <c r="G27" s="85">
        <v>16323</v>
      </c>
      <c r="H27" s="108">
        <v>15293</v>
      </c>
      <c r="I27" s="65"/>
      <c r="J27" s="65"/>
      <c r="K27" s="65"/>
      <c r="L27" s="65"/>
      <c r="M27" s="65"/>
      <c r="N27" s="65"/>
    </row>
    <row r="28" spans="1:15" ht="18" customHeight="1">
      <c r="A28" s="115" t="s">
        <v>190</v>
      </c>
      <c r="B28" s="115" t="s">
        <v>191</v>
      </c>
      <c r="C28" s="54" t="s">
        <v>192</v>
      </c>
      <c r="D28" s="86" t="s">
        <v>36</v>
      </c>
      <c r="E28" s="85">
        <v>1341.548</v>
      </c>
      <c r="F28" s="108">
        <v>1212.5999999999999</v>
      </c>
      <c r="G28" s="85">
        <v>3544</v>
      </c>
      <c r="H28" s="108">
        <v>3286</v>
      </c>
      <c r="I28" s="65"/>
      <c r="J28" s="65"/>
      <c r="K28" s="65"/>
      <c r="L28" s="65"/>
      <c r="M28" s="65"/>
      <c r="N28" s="65"/>
    </row>
    <row r="29" spans="1:15" ht="18" customHeight="1">
      <c r="A29" s="115"/>
      <c r="B29" s="115"/>
      <c r="C29" s="54" t="s">
        <v>193</v>
      </c>
      <c r="D29" s="86" t="s">
        <v>37</v>
      </c>
      <c r="E29" s="85">
        <v>1208.7639999999999</v>
      </c>
      <c r="F29" s="108">
        <v>1091.0999999999999</v>
      </c>
      <c r="G29" s="85">
        <v>3009</v>
      </c>
      <c r="H29" s="108">
        <v>2896</v>
      </c>
      <c r="I29" s="65"/>
      <c r="J29" s="65"/>
      <c r="K29" s="65"/>
      <c r="L29" s="65"/>
      <c r="M29" s="65"/>
      <c r="N29" s="65"/>
    </row>
    <row r="30" spans="1:15" ht="18" customHeight="1">
      <c r="A30" s="115"/>
      <c r="B30" s="115"/>
      <c r="C30" s="54" t="s">
        <v>194</v>
      </c>
      <c r="D30" s="86" t="s">
        <v>195</v>
      </c>
      <c r="E30" s="85">
        <v>99.504000000000005</v>
      </c>
      <c r="F30" s="89">
        <v>109.5</v>
      </c>
      <c r="G30" s="85">
        <v>260</v>
      </c>
      <c r="H30" s="108">
        <v>255</v>
      </c>
      <c r="I30" s="65"/>
      <c r="J30" s="65"/>
      <c r="K30" s="65"/>
      <c r="L30" s="65"/>
      <c r="M30" s="65"/>
      <c r="N30" s="65"/>
    </row>
    <row r="31" spans="1:15" ht="18" customHeight="1">
      <c r="A31" s="115"/>
      <c r="B31" s="115"/>
      <c r="C31" s="29" t="s">
        <v>196</v>
      </c>
      <c r="D31" s="86" t="s">
        <v>197</v>
      </c>
      <c r="E31" s="85">
        <f t="shared" ref="E31" si="0">E28-E29-E30</f>
        <v>33.280000000000101</v>
      </c>
      <c r="F31" s="108">
        <f t="shared" ref="F31:H31" si="1">F28-F29-F30</f>
        <v>12</v>
      </c>
      <c r="G31" s="85">
        <f>G28-G29-G30-1</f>
        <v>274</v>
      </c>
      <c r="H31" s="108">
        <f t="shared" si="1"/>
        <v>135</v>
      </c>
      <c r="I31" s="65">
        <f t="shared" ref="I31:N31" si="2">I28-I29-I30</f>
        <v>0</v>
      </c>
      <c r="J31" s="65">
        <f t="shared" si="2"/>
        <v>0</v>
      </c>
      <c r="K31" s="65">
        <f t="shared" si="2"/>
        <v>0</v>
      </c>
      <c r="L31" s="65">
        <f t="shared" si="2"/>
        <v>0</v>
      </c>
      <c r="M31" s="65">
        <f t="shared" si="2"/>
        <v>0</v>
      </c>
      <c r="N31" s="65">
        <f t="shared" si="2"/>
        <v>0</v>
      </c>
      <c r="O31" s="7"/>
    </row>
    <row r="32" spans="1:15" ht="18" customHeight="1">
      <c r="A32" s="115"/>
      <c r="B32" s="115"/>
      <c r="C32" s="54" t="s">
        <v>198</v>
      </c>
      <c r="D32" s="86" t="s">
        <v>199</v>
      </c>
      <c r="E32" s="85">
        <v>9.4440000000000008</v>
      </c>
      <c r="F32" s="108">
        <v>11</v>
      </c>
      <c r="G32" s="85">
        <v>60</v>
      </c>
      <c r="H32" s="108">
        <v>50</v>
      </c>
      <c r="I32" s="65"/>
      <c r="J32" s="65"/>
      <c r="K32" s="65"/>
      <c r="L32" s="65"/>
      <c r="M32" s="65"/>
      <c r="N32" s="65"/>
    </row>
    <row r="33" spans="1:14" ht="18" customHeight="1">
      <c r="A33" s="115"/>
      <c r="B33" s="115"/>
      <c r="C33" s="54" t="s">
        <v>200</v>
      </c>
      <c r="D33" s="86" t="s">
        <v>201</v>
      </c>
      <c r="E33" s="85">
        <v>7.0250000000000004</v>
      </c>
      <c r="F33" s="108">
        <v>9</v>
      </c>
      <c r="G33" s="85">
        <v>5</v>
      </c>
      <c r="H33" s="108">
        <v>3</v>
      </c>
      <c r="I33" s="65"/>
      <c r="J33" s="65"/>
      <c r="K33" s="65"/>
      <c r="L33" s="65"/>
      <c r="M33" s="65"/>
      <c r="N33" s="65"/>
    </row>
    <row r="34" spans="1:14" ht="18" customHeight="1">
      <c r="A34" s="115"/>
      <c r="B34" s="115"/>
      <c r="C34" s="29" t="s">
        <v>202</v>
      </c>
      <c r="D34" s="86" t="s">
        <v>203</v>
      </c>
      <c r="E34" s="85">
        <f t="shared" ref="E34" si="3">E31+E32-E33</f>
        <v>35.699000000000105</v>
      </c>
      <c r="F34" s="108">
        <f t="shared" ref="F34" si="4">F31+F32-F33</f>
        <v>14</v>
      </c>
      <c r="G34" s="85">
        <f>G31+G32-G33-1</f>
        <v>328</v>
      </c>
      <c r="H34" s="108">
        <f>H31+H32-H33-1</f>
        <v>181</v>
      </c>
      <c r="I34" s="65">
        <f t="shared" ref="I34:N34" si="5">I31+I32-I33</f>
        <v>0</v>
      </c>
      <c r="J34" s="65">
        <f t="shared" si="5"/>
        <v>0</v>
      </c>
      <c r="K34" s="65">
        <f t="shared" si="5"/>
        <v>0</v>
      </c>
      <c r="L34" s="65">
        <f t="shared" si="5"/>
        <v>0</v>
      </c>
      <c r="M34" s="65">
        <f t="shared" si="5"/>
        <v>0</v>
      </c>
      <c r="N34" s="65">
        <f t="shared" si="5"/>
        <v>0</v>
      </c>
    </row>
    <row r="35" spans="1:14" ht="18" customHeight="1">
      <c r="A35" s="115"/>
      <c r="B35" s="115" t="s">
        <v>204</v>
      </c>
      <c r="C35" s="54" t="s">
        <v>205</v>
      </c>
      <c r="D35" s="86" t="s">
        <v>206</v>
      </c>
      <c r="E35" s="85">
        <v>0</v>
      </c>
      <c r="F35" s="108">
        <v>0</v>
      </c>
      <c r="G35" s="85">
        <v>368</v>
      </c>
      <c r="H35" s="108">
        <v>72</v>
      </c>
      <c r="I35" s="65"/>
      <c r="J35" s="65"/>
      <c r="K35" s="65"/>
      <c r="L35" s="65"/>
      <c r="M35" s="65"/>
      <c r="N35" s="65"/>
    </row>
    <row r="36" spans="1:14" ht="18" customHeight="1">
      <c r="A36" s="115"/>
      <c r="B36" s="115"/>
      <c r="C36" s="54" t="s">
        <v>207</v>
      </c>
      <c r="D36" s="86" t="s">
        <v>208</v>
      </c>
      <c r="E36" s="85">
        <v>0</v>
      </c>
      <c r="F36" s="89">
        <v>0</v>
      </c>
      <c r="G36" s="85">
        <v>329</v>
      </c>
      <c r="H36" s="108">
        <v>0</v>
      </c>
      <c r="I36" s="65"/>
      <c r="J36" s="65"/>
      <c r="K36" s="65"/>
      <c r="L36" s="65"/>
      <c r="M36" s="65"/>
      <c r="N36" s="65"/>
    </row>
    <row r="37" spans="1:14" ht="18" customHeight="1">
      <c r="A37" s="115"/>
      <c r="B37" s="115"/>
      <c r="C37" s="54" t="s">
        <v>209</v>
      </c>
      <c r="D37" s="86" t="s">
        <v>210</v>
      </c>
      <c r="E37" s="85">
        <f t="shared" ref="E37" si="6">E34+E35-E36</f>
        <v>35.699000000000105</v>
      </c>
      <c r="F37" s="108">
        <f t="shared" ref="F37:H37" si="7">F34+F35-F36</f>
        <v>14</v>
      </c>
      <c r="G37" s="85">
        <f t="shared" si="7"/>
        <v>367</v>
      </c>
      <c r="H37" s="108">
        <f t="shared" si="7"/>
        <v>253</v>
      </c>
      <c r="I37" s="65">
        <f t="shared" ref="I37:N37" si="8">I34+I35-I36</f>
        <v>0</v>
      </c>
      <c r="J37" s="65">
        <f t="shared" si="8"/>
        <v>0</v>
      </c>
      <c r="K37" s="65">
        <f t="shared" si="8"/>
        <v>0</v>
      </c>
      <c r="L37" s="65">
        <f t="shared" si="8"/>
        <v>0</v>
      </c>
      <c r="M37" s="65">
        <f t="shared" si="8"/>
        <v>0</v>
      </c>
      <c r="N37" s="65">
        <f t="shared" si="8"/>
        <v>0</v>
      </c>
    </row>
    <row r="38" spans="1:14" ht="18" customHeight="1">
      <c r="A38" s="115"/>
      <c r="B38" s="115"/>
      <c r="C38" s="54" t="s">
        <v>211</v>
      </c>
      <c r="D38" s="86" t="s">
        <v>212</v>
      </c>
      <c r="E38" s="85">
        <v>0</v>
      </c>
      <c r="F38" s="108">
        <v>0</v>
      </c>
      <c r="G38" s="85">
        <v>0</v>
      </c>
      <c r="H38" s="108">
        <v>0</v>
      </c>
      <c r="I38" s="65"/>
      <c r="J38" s="65"/>
      <c r="K38" s="65"/>
      <c r="L38" s="65"/>
      <c r="M38" s="65"/>
      <c r="N38" s="65"/>
    </row>
    <row r="39" spans="1:14" ht="18" customHeight="1">
      <c r="A39" s="115"/>
      <c r="B39" s="115"/>
      <c r="C39" s="54" t="s">
        <v>213</v>
      </c>
      <c r="D39" s="86" t="s">
        <v>214</v>
      </c>
      <c r="E39" s="85">
        <v>0</v>
      </c>
      <c r="F39" s="108">
        <v>0</v>
      </c>
      <c r="G39" s="85">
        <v>0</v>
      </c>
      <c r="H39" s="108">
        <v>0</v>
      </c>
      <c r="I39" s="65"/>
      <c r="J39" s="65"/>
      <c r="K39" s="65"/>
      <c r="L39" s="65"/>
      <c r="M39" s="65"/>
      <c r="N39" s="65"/>
    </row>
    <row r="40" spans="1:14" ht="18" customHeight="1">
      <c r="A40" s="115"/>
      <c r="B40" s="115"/>
      <c r="C40" s="54" t="s">
        <v>215</v>
      </c>
      <c r="D40" s="86" t="s">
        <v>216</v>
      </c>
      <c r="E40" s="85">
        <v>0</v>
      </c>
      <c r="F40" s="108">
        <v>0</v>
      </c>
      <c r="G40" s="85">
        <v>-34</v>
      </c>
      <c r="H40" s="108">
        <v>38</v>
      </c>
      <c r="I40" s="65"/>
      <c r="J40" s="65"/>
      <c r="K40" s="65"/>
      <c r="L40" s="65"/>
      <c r="M40" s="65"/>
      <c r="N40" s="65"/>
    </row>
    <row r="41" spans="1:14" ht="18" customHeight="1">
      <c r="A41" s="115"/>
      <c r="B41" s="115"/>
      <c r="C41" s="29" t="s">
        <v>217</v>
      </c>
      <c r="D41" s="86" t="s">
        <v>218</v>
      </c>
      <c r="E41" s="85">
        <f t="shared" ref="E41" si="9">E34+E35-E36-E40</f>
        <v>35.699000000000105</v>
      </c>
      <c r="F41" s="108">
        <f t="shared" ref="F41:H41" si="10">F34+F35-F36-F40</f>
        <v>14</v>
      </c>
      <c r="G41" s="85">
        <f t="shared" si="10"/>
        <v>401</v>
      </c>
      <c r="H41" s="108">
        <f t="shared" si="10"/>
        <v>215</v>
      </c>
      <c r="I41" s="65">
        <f t="shared" ref="I41:N41" si="11">I34+I35-I36-I40</f>
        <v>0</v>
      </c>
      <c r="J41" s="65">
        <f t="shared" si="11"/>
        <v>0</v>
      </c>
      <c r="K41" s="65">
        <f t="shared" si="11"/>
        <v>0</v>
      </c>
      <c r="L41" s="65">
        <f t="shared" si="11"/>
        <v>0</v>
      </c>
      <c r="M41" s="65">
        <f t="shared" si="11"/>
        <v>0</v>
      </c>
      <c r="N41" s="65">
        <f t="shared" si="11"/>
        <v>0</v>
      </c>
    </row>
    <row r="42" spans="1:14" ht="18" customHeight="1">
      <c r="A42" s="115"/>
      <c r="B42" s="115"/>
      <c r="C42" s="138" t="s">
        <v>219</v>
      </c>
      <c r="D42" s="138"/>
      <c r="E42" s="85">
        <f t="shared" ref="E42" si="12">E37+E38-E39-E40</f>
        <v>35.699000000000105</v>
      </c>
      <c r="F42" s="108">
        <f t="shared" ref="F42:H42" si="13">F37+F38-F39-F40</f>
        <v>14</v>
      </c>
      <c r="G42" s="85">
        <f t="shared" si="13"/>
        <v>401</v>
      </c>
      <c r="H42" s="108">
        <f t="shared" si="13"/>
        <v>215</v>
      </c>
      <c r="I42" s="65">
        <f t="shared" ref="I42:N42" si="14">I37+I38-I39-I40</f>
        <v>0</v>
      </c>
      <c r="J42" s="65">
        <f t="shared" si="14"/>
        <v>0</v>
      </c>
      <c r="K42" s="65">
        <f t="shared" si="14"/>
        <v>0</v>
      </c>
      <c r="L42" s="65">
        <f t="shared" si="14"/>
        <v>0</v>
      </c>
      <c r="M42" s="65">
        <f t="shared" si="14"/>
        <v>0</v>
      </c>
      <c r="N42" s="65">
        <f t="shared" si="14"/>
        <v>0</v>
      </c>
    </row>
    <row r="43" spans="1:14" ht="18" customHeight="1">
      <c r="A43" s="115"/>
      <c r="B43" s="115"/>
      <c r="C43" s="54" t="s">
        <v>220</v>
      </c>
      <c r="D43" s="86" t="s">
        <v>221</v>
      </c>
      <c r="E43" s="85">
        <v>136.792</v>
      </c>
      <c r="F43" s="89">
        <v>123.2</v>
      </c>
      <c r="G43" s="85">
        <v>0</v>
      </c>
      <c r="H43" s="108">
        <v>0</v>
      </c>
      <c r="I43" s="65"/>
      <c r="J43" s="65"/>
      <c r="K43" s="65"/>
      <c r="L43" s="65"/>
      <c r="M43" s="65"/>
      <c r="N43" s="65"/>
    </row>
    <row r="44" spans="1:14" ht="18" customHeight="1">
      <c r="A44" s="115"/>
      <c r="B44" s="115"/>
      <c r="C44" s="29" t="s">
        <v>222</v>
      </c>
      <c r="D44" s="64" t="s">
        <v>223</v>
      </c>
      <c r="E44" s="85">
        <f t="shared" ref="E44" si="15">E41+E43</f>
        <v>172.4910000000001</v>
      </c>
      <c r="F44" s="89">
        <f t="shared" ref="F44:H44" si="16">F41+F43</f>
        <v>137.19999999999999</v>
      </c>
      <c r="G44" s="85">
        <f t="shared" si="16"/>
        <v>401</v>
      </c>
      <c r="H44" s="108">
        <f t="shared" si="16"/>
        <v>215</v>
      </c>
      <c r="I44" s="65">
        <f t="shared" ref="I44:N44" si="17">I41+I43</f>
        <v>0</v>
      </c>
      <c r="J44" s="65">
        <f t="shared" si="17"/>
        <v>0</v>
      </c>
      <c r="K44" s="65">
        <f t="shared" si="17"/>
        <v>0</v>
      </c>
      <c r="L44" s="65">
        <f t="shared" si="17"/>
        <v>0</v>
      </c>
      <c r="M44" s="65">
        <f t="shared" si="17"/>
        <v>0</v>
      </c>
      <c r="N44" s="65">
        <f t="shared" si="17"/>
        <v>0</v>
      </c>
    </row>
    <row r="45" spans="1:14" ht="14.15" customHeight="1">
      <c r="A45" s="11" t="s">
        <v>224</v>
      </c>
    </row>
    <row r="46" spans="1:14" ht="14.15" customHeight="1">
      <c r="A46" s="11" t="s">
        <v>225</v>
      </c>
    </row>
    <row r="47" spans="1:14">
      <c r="A47" s="48"/>
    </row>
  </sheetData>
  <mergeCells count="15">
    <mergeCell ref="C42:D42"/>
    <mergeCell ref="A15:A27"/>
    <mergeCell ref="B15:B18"/>
    <mergeCell ref="B19:B22"/>
    <mergeCell ref="B23:B26"/>
    <mergeCell ref="A28:A44"/>
    <mergeCell ref="B28:B34"/>
    <mergeCell ref="B35:B44"/>
    <mergeCell ref="E6:F6"/>
    <mergeCell ref="G6:H6"/>
    <mergeCell ref="K6:L6"/>
    <mergeCell ref="M6:N6"/>
    <mergeCell ref="A8:A14"/>
    <mergeCell ref="B9:B14"/>
    <mergeCell ref="I6:J6"/>
  </mergeCells>
  <phoneticPr fontId="15"/>
  <conditionalFormatting sqref="E8:E44">
    <cfRule type="containsBlanks" dxfId="3" priority="2">
      <formula>LEN(TRIM(E8))=0</formula>
    </cfRule>
  </conditionalFormatting>
  <conditionalFormatting sqref="F8:F30 F32:F33 F35:F36 F38:F40 F43">
    <cfRule type="containsBlanks" dxfId="2" priority="5">
      <formula>LEN(TRIM(F8))=0</formula>
    </cfRule>
  </conditionalFormatting>
  <conditionalFormatting sqref="G8:G44">
    <cfRule type="containsBlanks" dxfId="1" priority="1">
      <formula>LEN(TRIM(G8))=0</formula>
    </cfRule>
  </conditionalFormatting>
  <conditionalFormatting sqref="H8:H30 H32:H33 H35:H36 H38:H40 H43">
    <cfRule type="containsBlanks" dxfId="0" priority="4">
      <formula>LEN(TRIM(H8))=0</formula>
    </cfRule>
  </conditionalFormatting>
  <printOptions horizontalCentered="1" gridLinesSet="0"/>
  <pageMargins left="0.39370078740157483" right="0.39370078740157483" top="0.19685039370078741" bottom="0.19685039370078741" header="0.27559055118110237" footer="0.23622047244094491"/>
  <pageSetup paperSize="9" scale="73" firstPageNumber="5" orientation="landscape" useFirstPageNumber="1" horizontalDpi="4294967292" r:id="rId1"/>
  <headerFooter alignWithMargins="0">
    <oddHeader>&amp;R&amp;"明朝,斜体"&amp;9指定都市－5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1.普通会計予算（R6-7年度）</vt:lpstr>
      <vt:lpstr>2.公営企業会計予算（R6-7年度）</vt:lpstr>
      <vt:lpstr>3.(1)普通会計決算（R4-5年度）</vt:lpstr>
      <vt:lpstr>3.(2)財政指標等（R元‐R5年度）</vt:lpstr>
      <vt:lpstr>4.公営企業会計決算（R4-5年度）</vt:lpstr>
      <vt:lpstr>5.三セク決算（R4-5年度）</vt:lpstr>
      <vt:lpstr>'1.普通会計予算（R6-7年度）'!Print_Area</vt:lpstr>
      <vt:lpstr>'2.公営企業会計予算（R6-7年度）'!Print_Area</vt:lpstr>
      <vt:lpstr>'3.(1)普通会計決算（R4-5年度）'!Print_Area</vt:lpstr>
      <vt:lpstr>'3.(2)財政指標等（R元‐R5年度）'!Print_Area</vt:lpstr>
      <vt:lpstr>'4.公営企業会計決算（R4-5年度）'!Print_Area</vt:lpstr>
      <vt:lpstr>'5.三セク決算（R4-5年度）'!Print_Area</vt:lpstr>
      <vt:lpstr>'2.公営企業会計予算（R6-7年度）'!Print_Titles</vt:lpstr>
      <vt:lpstr>'4.公営企業会計決算（R4-5年度）'!Print_Titles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chihousai09</cp:lastModifiedBy>
  <cp:lastPrinted>2025-08-27T00:12:00Z</cp:lastPrinted>
  <dcterms:created xsi:type="dcterms:W3CDTF">1999-07-06T05:17:05Z</dcterms:created>
  <dcterms:modified xsi:type="dcterms:W3CDTF">2025-09-18T01:33:10Z</dcterms:modified>
</cp:coreProperties>
</file>